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9990" activeTab="2"/>
  </bookViews>
  <sheets>
    <sheet name="NPV of Costs" sheetId="1" r:id="rId1"/>
    <sheet name="Start-Up Costs" sheetId="2" r:id="rId2"/>
    <sheet name="Ongoing Costs" sheetId="3" r:id="rId3"/>
  </sheets>
  <definedNames>
    <definedName name="Ongoing_Advertising_allyears">'Ongoing Costs'!$B$78:$F$78</definedName>
    <definedName name="Ongoing_appsoftware_allyears">'Ongoing Costs'!$B$49:$F$49</definedName>
    <definedName name="Ongoing_Colldev_allyears">'Ongoing Costs'!$B$42:$F$42</definedName>
    <definedName name="Ongoing_Computer_Totals_Allyears">'Ongoing Costs'!F$22:$G$27</definedName>
    <definedName name="Ongoing_Computer_Year1">'Ongoing Costs'!$B$22:$B$27</definedName>
    <definedName name="Ongoing_Computer_Year2">'Ongoing Costs'!$C$22:$C$27</definedName>
    <definedName name="Ongoing_Computer_Year3">'Ongoing Costs'!$D$22:$D$27</definedName>
    <definedName name="Ongoing_Computer_Year4">'Ongoing Costs'!$E$22:$E$27</definedName>
    <definedName name="Ongoing_Computer_Year5">'Ongoing Costs'!$F$22:$F$27</definedName>
    <definedName name="Ongoing_Connectivity_allyears">'Ongoing Costs'!$B$35:$F$35</definedName>
    <definedName name="Ongoing_Consultant_allyears">'Ongoing Costs'!$B$73:$F$73</definedName>
    <definedName name="Ongoing_Contingency_allyears">'Ongoing Costs'!$B$80:$F$80</definedName>
    <definedName name="Ongoing_Elmat_Totals_Allyears">'Ongoing Costs'!$G$46:$G$53</definedName>
    <definedName name="Ongoing_Elmat_Year1">'Ongoing Costs'!$B$46:$B$53</definedName>
    <definedName name="Ongoing_Elmat_Year2">'Ongoing Costs'!$C$46:$C$53</definedName>
    <definedName name="Ongoing_Elmat_Year3">'Ongoing Costs'!$D$46:$D$53</definedName>
    <definedName name="Ongoing_Elmat_Year4">'Ongoing Costs'!$E$46:$E$53</definedName>
    <definedName name="Ongoing_Elmat_Year5">'Ongoing Costs'!$F$46:$F$53</definedName>
    <definedName name="Ongoing_Facilities_Totals_Allyears">'Ongoing Costs'!$G$64:$G$68</definedName>
    <definedName name="Ongoing_Facilities_Year1">'Ongoing Costs'!$B$64:$B$68</definedName>
    <definedName name="Ongoing_Facilities_Year2">'Ongoing Costs'!$C$64:$C$68</definedName>
    <definedName name="Ongoing_Facilities_Year3">'Ongoing Costs'!$D$64:$D$68</definedName>
    <definedName name="Ongoing_Facilities_Year4">'Ongoing Costs'!$E$64:$E$68</definedName>
    <definedName name="Ongoing_Facilities_Year5">'Ongoing Costs'!$F$64:$F$68</definedName>
    <definedName name="Ongoing_furniture_allyears">'Ongoing Costs'!$B$66:$F$66</definedName>
    <definedName name="Ongoing_Hosting_allyears">'Ongoing Costs'!$B$46:$F$46</definedName>
    <definedName name="Ongoing_Installation_allyears">'Ongoing Costs'!$B$25:$F$25</definedName>
    <definedName name="Ongoing_LANhardware_allyears">'Ongoing Costs'!$B$38:$F$38</definedName>
    <definedName name="Ongoing_LANhubs_allyears">'Ongoing Costs'!$B$34:$F$34</definedName>
    <definedName name="Ongoing_LibrarianBenefits_allyears">'Ongoing Costs'!$B$15:$F$15</definedName>
    <definedName name="Ongoing_LibrarianWages_allyears">'Ongoing Costs'!$B$14:$F$14</definedName>
    <definedName name="Ongoing_Licensing_allyears">'Ongoing Costs'!$B$5:$F$5</definedName>
    <definedName name="Ongoing_Licensing_Totals_Allyears">'Ongoing Costs'!$G$5</definedName>
    <definedName name="Ongoing_Licensing_Year1">'Ongoing Costs'!$B$5</definedName>
    <definedName name="Ongoing_Licensing_Year2">'Ongoing Costs'!$C$5</definedName>
    <definedName name="Ongoing_Licensing_Year3">'Ongoing Costs'!$D$5</definedName>
    <definedName name="Ongoing_Licensing_Year4">'Ongoing Costs'!$E$5</definedName>
    <definedName name="Ongoing_Licensing_Year5">'Ongoing Costs'!$F$5</definedName>
    <definedName name="Ongoing_Linehardware_allyears">'Ongoing Costs'!$B$37:$F$37</definedName>
    <definedName name="Ongoing_Lines_allyears">'Ongoing Costs'!$B$30:$F$30</definedName>
    <definedName name="Ongoing_Maintenance_allyears">'Ongoing Costs'!$B$27:$F$27</definedName>
    <definedName name="Ongoing_Mgmt_Totals_AllYears">'Ongoing Costs'!$G$71:$G$80</definedName>
    <definedName name="Ongoing_Mgmt_Year1">'Ongoing Costs'!$B$71:$B$80</definedName>
    <definedName name="Ongoing_Mgmt_Year2">'Ongoing Costs'!$C$71:$C$80</definedName>
    <definedName name="Ongoing_Mgmt_Year3">'Ongoing Costs'!$D$71:$D$80</definedName>
    <definedName name="Ongoing_Mgmt_Year4">'Ongoing Costs'!$E$71:$E$80</definedName>
    <definedName name="Ongoing_Mgmt_Year5">'Ongoing Costs'!$F$71:$F$80</definedName>
    <definedName name="Ongoing_Modems_allyears">'Ongoing Costs'!$B$32:$F$32</definedName>
    <definedName name="Ongoing_navigation_allyears">'Ongoing Costs'!$B$51:$F$51</definedName>
    <definedName name="Ongoing_Negotiations_allyears">'Ongoing Costs'!$B$74:$F$74</definedName>
    <definedName name="Ongoing_OPAC_allyears">'Ongoing Costs'!$B$50:$F$50</definedName>
    <definedName name="Ongoing_opsystems_allyears">'Ongoing Costs'!$B$48:$F$48</definedName>
    <definedName name="Ongoing_otherelmat_allyears">'Ongoing Costs'!$B$53:$F$53</definedName>
    <definedName name="Ongoing_Othermgmt_allyears">'Ongoing Costs'!$B$77:$F$77</definedName>
    <definedName name="Ongoing_otheropexp_allyears">'Ongoing Costs'!$B$68:$F$68</definedName>
    <definedName name="Ongoing_OtherTelecom_allyears">'Ongoing Costs'!$B$39:$F$39</definedName>
    <definedName name="Ongoing_Othertraining_allyears">'Ongoing Costs'!$B$61:$F$61</definedName>
    <definedName name="Ongoing_OutsourcedToOthers_allyears">'Ongoing Costs'!$B$9:$F$9</definedName>
    <definedName name="Ongoing_Outsourcing_Totals_Allyears">'Ongoing Costs'!$G$8:$G$11</definedName>
    <definedName name="Ongoing_Outsourcing_Year1">'Ongoing Costs'!$B$8:$B$11</definedName>
    <definedName name="Ongoing_Outsourcing_Year2">'Ongoing Costs'!$C$8:$C$11</definedName>
    <definedName name="Ongoing_Outsourcing_Year3">'Ongoing Costs'!$D$8:$D$11</definedName>
    <definedName name="Ongoing_Outsourcing_Year4">'Ongoing Costs'!$E$8:$E$11</definedName>
    <definedName name="Ongoing_Outsourcing_Year5">'Ongoing Costs'!$F$8:$F$11</definedName>
    <definedName name="Ongoing_ParaprofBenefits_allyears">'Ongoing Costs'!$B$17:$F$17</definedName>
    <definedName name="Ongoing_ParaprofWages_allyears">'Ongoing Costs'!$B$16:$F$16</definedName>
    <definedName name="Ongoing_PersonnelTime_allyears">'Ongoing Costs'!$B$75:$F$75</definedName>
    <definedName name="Ongoing_Phonelines_allyears">'Ongoing Costs'!$B$33:$F$33</definedName>
    <definedName name="Ongoing_planning_allyears">'Ongoing Costs'!$B$71:$F$71</definedName>
    <definedName name="Ongoing_PrinterScanners_allyears">'Ongoing Costs'!$B$24:$F$24</definedName>
    <definedName name="Ongoing_Printmat_Totals_Allyears">'Ongoing Costs'!$G$42:$G$43</definedName>
    <definedName name="Ongoing_Printmat_Year1">'Ongoing Costs'!$B$42:$B$43</definedName>
    <definedName name="Ongoing_Printmat_Year2">'Ongoing Costs'!$C$42:$C$43</definedName>
    <definedName name="Ongoing_Printmat_Year3">'Ongoing Costs'!$D$42:$D$43</definedName>
    <definedName name="Ongoing_Printmat_Year4">'Ongoing Costs'!$E$42:$E$43</definedName>
    <definedName name="Ongoing_Printmat_Year5">'Ongoing Costs'!$F$42:$F$43</definedName>
    <definedName name="Ongoing_ProgramAnalysis_allyears">'Ongoing Costs'!$B$76:$F$76</definedName>
    <definedName name="Ongoing_QuestionAnswering_allyears">'Ongoing Costs'!$B$8:$F$8</definedName>
    <definedName name="Ongoing_renovation_allyears">'Ongoing Costs'!$B$65:$F$65</definedName>
    <definedName name="Ongoing_Reporting_allyears">'Ongoing Costs'!$B$11:$F$11</definedName>
    <definedName name="Ongoing_research_allyears">'Ongoing Costs'!$B$43:$F$43</definedName>
    <definedName name="Ongoing_RFP_allyears">'Ongoing Costs'!$B$72:$F$72</definedName>
    <definedName name="Ongoing_Routers_allyears">'Ongoing Costs'!$B$31:$F$31</definedName>
    <definedName name="Ongoing_Servers_allyears">'Ongoing Costs'!$B$23:$F$23</definedName>
    <definedName name="Ongoing_services_allyears">'Ongoing Costs'!$B$47:$F$47</definedName>
    <definedName name="Ongoing_sitelicenses_allyears">'Ongoing Costs'!$B$52:$F$52</definedName>
    <definedName name="Ongoing_space_allyears">'Ongoing Costs'!$B$67:$F$67</definedName>
    <definedName name="Ongoing_Stafftraining_allyears">'Ongoing Costs'!$B$56:$F$56</definedName>
    <definedName name="Ongoing_Supplies_allyears">'Ongoing Costs'!$B$79:$F$79</definedName>
    <definedName name="Ongoing_TechBenefits_allyears">'Ongoing Costs'!$B$19:$F$19</definedName>
    <definedName name="Ongoing_TechWages_allyears">'Ongoing Costs'!$B$18:$F$18</definedName>
    <definedName name="Ongoing_Telecom_Totals_Allyears">'Ongoing Costs'!$G$30:$G$39</definedName>
    <definedName name="Ongoing_Telecom_Year1">'Ongoing Costs'!$B$30:$B$39</definedName>
    <definedName name="Ongoing_Telecom_Year2">'Ongoing Costs'!$C$30:$C$39</definedName>
    <definedName name="Ongoing_Telecom_Year3">'Ongoing Costs'!$D$30:$D$39</definedName>
    <definedName name="Ongoing_Telecom_Year4">'Ongoing Costs'!$E$30:$E$39</definedName>
    <definedName name="Ongoing_Telecom_Year5">'Ongoing Costs'!$F$30:$F$39</definedName>
    <definedName name="Ongoing_Training_Totals_Allyears">'Ongoing Costs'!$G$56:$G$61</definedName>
    <definedName name="Ongoing_Training_Year1">'Ongoing Costs'!$B$56:$B$61</definedName>
    <definedName name="Ongoing_Training_Year2">'Ongoing Costs'!$C$56:$C$61</definedName>
    <definedName name="Ongoing_Training_Year3">'Ongoing Costs'!$D$56:$D$61</definedName>
    <definedName name="Ongoing_Training_Year4">'Ongoing Costs'!$E$56:$E$61</definedName>
    <definedName name="Ongoing_Training_Year5">'Ongoing Costs'!$F$56:$F$61</definedName>
    <definedName name="Ongoing_Trainingdocs_allyears">'Ongoing Costs'!$B$58:$F$58</definedName>
    <definedName name="Ongoing_TrainingTechSupport_allyears">'Ongoing Costs'!$B$10:$F$10</definedName>
    <definedName name="Ongoing_Trainingtravel_allyears">'Ongoing Costs'!$B$59:$F$59</definedName>
    <definedName name="Ongoing_Upgrades_allyears">'Ongoing Costs'!$B$26:$F$26</definedName>
    <definedName name="Ongoing_Usersupport_allyears">'Ongoing Costs'!$B$60:$F$60</definedName>
    <definedName name="Ongoing_Usertraining_allyears">'Ongoing Costs'!$B$57:$F$57</definedName>
    <definedName name="Ongoing_Wiring_allyears">'Ongoing Costs'!$B$64:$F$64</definedName>
    <definedName name="Ongoing_Workstations_allyears">'Ongoing Costs'!$B$22:$F$22</definedName>
    <definedName name="Ongoing_WSnB_Totals_Allyears">'Ongoing Costs'!$G$14:$G$19</definedName>
    <definedName name="Ongoing_WSnB_Year1">'Ongoing Costs'!$B$14:$B$19</definedName>
    <definedName name="Ongoing_WSnB_Year2">'Ongoing Costs'!$C$14:$C$19</definedName>
    <definedName name="Ongoing_WSnB_Year3">'Ongoing Costs'!$D$14:$D$19</definedName>
    <definedName name="Ongoing_WSnB_Year4">'Ongoing Costs'!$E$14:$E$19</definedName>
    <definedName name="Ongoing_WSnB_Year5">'Ongoing Costs'!$F$14:$F$19</definedName>
    <definedName name="_xlnm.Print_Area" localSheetId="0">'NPV of Costs'!$A$1:$I$34</definedName>
    <definedName name="_xlnm.Print_Area" localSheetId="2">'Ongoing Costs'!$A$1:$G$82</definedName>
    <definedName name="_xlnm.Print_Area" localSheetId="1">'Start-Up Costs'!$A$1:$D$83</definedName>
    <definedName name="_xlnm.Print_Titles" localSheetId="2">'Ongoing Costs'!$1:$3</definedName>
    <definedName name="Upfront_Advertising_allyears">'Start-Up Costs'!$B$79:$C$79</definedName>
    <definedName name="Upfront_Appsoftware_allyears">'Start-Up Costs'!$B$50:$C$50</definedName>
    <definedName name="Upfront_Circuits_allyears">'Start-Up Costs'!$B$37:$C$37</definedName>
    <definedName name="Upfront_Colldev_allyears">'Start-Up Costs'!$B$43:$C$43</definedName>
    <definedName name="Upfront_Computer_Totals_Allyears">'Start-Up Costs'!$D$24:$D$28</definedName>
    <definedName name="Upfront_Computer_Year1">'Start-Up Costs'!$B$24:$B$28</definedName>
    <definedName name="Upfront_Computer_Year2">'Start-Up Costs'!$C$24:$C$28</definedName>
    <definedName name="Upfront_Computer_Year3">'Start-Up Costs'!#REF!</definedName>
    <definedName name="Upfront_Computer_Year4">'Start-Up Costs'!#REF!</definedName>
    <definedName name="Upfront_Computer_Year5">'Start-Up Costs'!#REF!</definedName>
    <definedName name="Upfront_Connectivity_allyears">'Start-Up Costs'!$B$36:$C$36</definedName>
    <definedName name="Upfront_Consultant_allyears">'Start-Up Costs'!$B$74:$C$74</definedName>
    <definedName name="Upfront_Contingency_Allyears">'Start-Up Costs'!$B$81:$C$81</definedName>
    <definedName name="Upfront_Elmat_Totals_Allyears">'Start-Up Costs'!$D$47:$D$54</definedName>
    <definedName name="Upfront_Elmat_Year1">'Start-Up Costs'!$B$47:$B$54</definedName>
    <definedName name="Upfront_Elmat_Year2">'Start-Up Costs'!$C$47:$C$54</definedName>
    <definedName name="Upfront_Elmat_Year3">'Start-Up Costs'!#REF!</definedName>
    <definedName name="Upfront_Elmat_Year4">'Start-Up Costs'!#REF!</definedName>
    <definedName name="Upfront_Elmat_Year5">'Start-Up Costs'!#REF!</definedName>
    <definedName name="Upfront_Facilities_Totals_Allyears">'Start-Up Costs'!$D$65:$D$69</definedName>
    <definedName name="Upfront_Facilities_Year1">'Start-Up Costs'!$B$65:$B$69</definedName>
    <definedName name="Upfront_Facilities_Year2">'Start-Up Costs'!A$65:$C$69</definedName>
    <definedName name="Upfront_Facilities_Year3">'Start-Up Costs'!#REF!</definedName>
    <definedName name="Upfront_Facilities_Year4">'Start-Up Costs'!#REF!</definedName>
    <definedName name="Upfront_Facilities_Year5">'Start-Up Costs'!#REF!</definedName>
    <definedName name="Upfront_Furniture_allyears">'Start-Up Costs'!$B$67:$C$67</definedName>
    <definedName name="Upfront_Installation_allyears">'Start-Up Costs'!$B$27:$C$27</definedName>
    <definedName name="Upfront_LANhardware_allyears">'Start-Up Costs'!$B$39:$C$39</definedName>
    <definedName name="Upfront_LANhubs_allyears">'Start-Up Costs'!$B$35:$C$35</definedName>
    <definedName name="Upfront_LibrarianBenefits_allyears">'Start-Up Costs'!$B$17:$C$17</definedName>
    <definedName name="Upfront_LibrarianWages_allyears">'Start-Up Costs'!$B$16:$C$16</definedName>
    <definedName name="Upfront_Licensing_allyears">'Start-Up Costs'!$B$7:$C$7</definedName>
    <definedName name="Upfront_Licensing_Totals_Allyears">'Start-Up Costs'!$D$7</definedName>
    <definedName name="Upfront_Licensing_Year1">'Start-Up Costs'!$B$7</definedName>
    <definedName name="Upfront_Licensing_Year2">'Start-Up Costs'!$C$7</definedName>
    <definedName name="Upfront_Licensing_Year3">'Start-Up Costs'!#REF!</definedName>
    <definedName name="Upfront_Licensing_Year4">'Start-Up Costs'!#REF!</definedName>
    <definedName name="Upfront_Licensing_Year5">'Start-Up Costs'!#REF!</definedName>
    <definedName name="Upfront_Linehardware_allyears">'Start-Up Costs'!$B$38:$C$38</definedName>
    <definedName name="Upfront_Lines_allyears">'Start-Up Costs'!$B$31:$C$31</definedName>
    <definedName name="Upfront_Maintenance_allyears">'Start-Up Costs'!#REF!</definedName>
    <definedName name="Upfront_Mgmt_Totals_Allyears">'Start-Up Costs'!$D$72:$D$81</definedName>
    <definedName name="Upfront_Mgmt_Year1">'Start-Up Costs'!$B$72:$B$81</definedName>
    <definedName name="Upfront_Mgmt_Year2">'Start-Up Costs'!$C$72:$C$81</definedName>
    <definedName name="Upfront_Mgmt_Year3">'Start-Up Costs'!#REF!</definedName>
    <definedName name="Upfront_Mgmt_Year4">'Start-Up Costs'!#REF!</definedName>
    <definedName name="Upfront_Mgmt_Year5">'Start-Up Costs'!#REF!</definedName>
    <definedName name="Upfront_Modems_allyears">'Start-Up Costs'!$B$33:$C$33</definedName>
    <definedName name="Upfront_Navigation_allyears">'Start-Up Costs'!$B$52:$C$52</definedName>
    <definedName name="Upfront_Negotiations_allyears">'Start-Up Costs'!$B$75:$C$75</definedName>
    <definedName name="Upfront_OPAC_allyears">'Start-Up Costs'!$B$51:$C$51</definedName>
    <definedName name="Upfront_Opsystems_allyears">'Start-Up Costs'!$B$49:$C$49</definedName>
    <definedName name="Upfront_Otherelmat_allyears">'Start-Up Costs'!$B$54:$C$54</definedName>
    <definedName name="Upfront_OtherMgmt_allyears">'Start-Up Costs'!$B$78:$C$78</definedName>
    <definedName name="Upfront_OtherOpExp_allyears">'Start-Up Costs'!$B$69:$C$69</definedName>
    <definedName name="Upfront_OtherTelecom_allyears">'Start-Up Costs'!$B$40:$C$40</definedName>
    <definedName name="Upfront_OtherTraining_allyears">'Start-Up Costs'!$B$62:$C$62</definedName>
    <definedName name="Upfront_OutsourcedToOthers_allyears">'Start-Up Costs'!$B$11:$C$11</definedName>
    <definedName name="Upfront_Outsourcing_Totals_Allyears">'Start-Up Costs'!$D$10:$D$13</definedName>
    <definedName name="Upfront_Outsourcing_Year1">'Start-Up Costs'!$B$10:$B$13</definedName>
    <definedName name="Upfront_Outsourcing_Year2">'Start-Up Costs'!$C$10:$C$13</definedName>
    <definedName name="Upfront_Outsourcing_Year3">'Start-Up Costs'!#REF!</definedName>
    <definedName name="Upfront_Outsourcing_Year4">'Start-Up Costs'!#REF!</definedName>
    <definedName name="Upfront_Outsourcing_Year5">'Start-Up Costs'!#REF!</definedName>
    <definedName name="Upfront_ParaprofBenefits_allyears">'Start-Up Costs'!$B$19:$C$19</definedName>
    <definedName name="Upfront_ParaprofWages_allyears">'Start-Up Costs'!$B$18:$C$18</definedName>
    <definedName name="Upfront_PersonnelTime_allyears">'Start-Up Costs'!$B$76:$C$76</definedName>
    <definedName name="Upfront_Phonelines_allyears">'Start-Up Costs'!$B$34:$C$34</definedName>
    <definedName name="Upfront_Planning_allyears">'Start-Up Costs'!$B$72:$C$72</definedName>
    <definedName name="Upfront_PrinterScanners_allyears">'Start-Up Costs'!$B$26:$C$26</definedName>
    <definedName name="Upfront_Printmat_Totals_Allyears">'Start-Up Costs'!$D$43:$D$44</definedName>
    <definedName name="Upfront_Printmat_Year1">'Start-Up Costs'!$B$43:$B$44</definedName>
    <definedName name="Upfront_Printmat_Year2">'Start-Up Costs'!$C$43:$C$44</definedName>
    <definedName name="Upfront_Printmat_Year3">'Start-Up Costs'!#REF!</definedName>
    <definedName name="Upfront_Printmat_Year4">'Start-Up Costs'!#REF!</definedName>
    <definedName name="Upfront_Printmat_Year5">'Start-Up Costs'!#REF!</definedName>
    <definedName name="Upfront_ProgramAnalysis_allyears">'Start-Up Costs'!$B$77:$C$77</definedName>
    <definedName name="Upfront_Questionanswering_allyears">'Start-Up Costs'!$B$10:$C$10</definedName>
    <definedName name="Upfront_Renovation_allyears">'Start-Up Costs'!$B$66:$C$66</definedName>
    <definedName name="Upfront_Reporting_allyears">'Start-Up Costs'!$B$13:$C$13</definedName>
    <definedName name="Upfront_Research_allyears">'Start-Up Costs'!$B$44:$C$44</definedName>
    <definedName name="Upfront_RFP_allyears">'Start-Up Costs'!$B$73:$C$73</definedName>
    <definedName name="Upfront_Routers_allyears">'Start-Up Costs'!$B$32:$C$32</definedName>
    <definedName name="Upfront_Servers_allyears">'Start-Up Costs'!$B$25:$C$25</definedName>
    <definedName name="Upfront_Services_allyears">'Start-Up Costs'!$B$48:$C$48</definedName>
    <definedName name="Upfront_Sitelicenses_allyears">'Start-Up Costs'!$B$53:$C$53</definedName>
    <definedName name="Upfront_Space_allyears">'Start-Up Costs'!$B$68:$C$68</definedName>
    <definedName name="Upfront_StaffTraining_allyears">'Start-Up Costs'!$B$57:$C$57</definedName>
    <definedName name="Upfront_Supplies_allyears">'Start-Up Costs'!$B$80:$C$80</definedName>
    <definedName name="Upfront_TechBenefits_allyears">'Start-Up Costs'!$B$21:$C$21</definedName>
    <definedName name="Upfront_Techwages_allyears">'Start-Up Costs'!$B$20:$C$20</definedName>
    <definedName name="Upfront_Telecom_Totals_Allyears">'Start-Up Costs'!$D$31:$D$40</definedName>
    <definedName name="Upfront_Telecom_Year1">'Start-Up Costs'!$B$31:$B$40</definedName>
    <definedName name="Upfront_Telecom_Year2">'Start-Up Costs'!$C$31:$C$40</definedName>
    <definedName name="Upfront_Telecom_Year3">'Start-Up Costs'!#REF!</definedName>
    <definedName name="Upfront_Telecom_Year4">'Start-Up Costs'!#REF!</definedName>
    <definedName name="Upfront_Telecom_Year5">'Start-Up Costs'!#REF!</definedName>
    <definedName name="Upfront_Training_Totals_Allyears">'Start-Up Costs'!$D$57:$D$62</definedName>
    <definedName name="Upfront_Training_Year1">'Start-Up Costs'!$B$57:$B$62</definedName>
    <definedName name="Upfront_Training_Year2">'Start-Up Costs'!$C$57:$C$62</definedName>
    <definedName name="Upfront_Training_Year3">'Start-Up Costs'!#REF!</definedName>
    <definedName name="Upfront_Training_Year4">'Start-Up Costs'!#REF!</definedName>
    <definedName name="Upfront_Training_Year5">'Start-Up Costs'!#REF!</definedName>
    <definedName name="Upfront_Trainingdocs_allyears">'Start-Up Costs'!$B$59:$C$59</definedName>
    <definedName name="Upfront_TrainingTechSupport_allyears">'Start-Up Costs'!$B$12:$C$12</definedName>
    <definedName name="Upfront_Trainingtravel_allyears">'Start-Up Costs'!$B$60:$C$60</definedName>
    <definedName name="Upfront_Upgrades_allyears">'Start-Up Costs'!$B$28:$C$28</definedName>
    <definedName name="Upfront_Usersupport_allyears">'Start-Up Costs'!$B$61:$C$61</definedName>
    <definedName name="Upfront_UserTraining_allyears">'Start-Up Costs'!$B$58:$C$58</definedName>
    <definedName name="Upfront_Webhosting_allyears">'Start-Up Costs'!$B$47:$C$47</definedName>
    <definedName name="Upfront_Wiring_allyears">'Start-Up Costs'!$B$65:$C$65</definedName>
    <definedName name="Upfront_Workstations_allyears">'Start-Up Costs'!$B$24:$C$24</definedName>
    <definedName name="Upfront_WSnB_Totals_Allyears">'Start-Up Costs'!$D$16:$D$21</definedName>
    <definedName name="Upfront_WSnB_Year1">'Start-Up Costs'!$B$16:$B$21</definedName>
    <definedName name="Upfront_WSnB_Year2">'Start-Up Costs'!$C$16:$C$21</definedName>
    <definedName name="Upfront_WSnB_Year3">'Start-Up Costs'!#REF!</definedName>
    <definedName name="Upfront_WSnB_Year4">'Start-Up Costs'!#REF!</definedName>
    <definedName name="Upfront_WSnB_Year5">'Start-Up Costs'!#REF!</definedName>
  </definedNames>
  <calcPr fullCalcOnLoad="1"/>
</workbook>
</file>

<file path=xl/sharedStrings.xml><?xml version="1.0" encoding="utf-8"?>
<sst xmlns="http://schemas.openxmlformats.org/spreadsheetml/2006/main" count="207" uniqueCount="123">
  <si>
    <t>Other</t>
  </si>
  <si>
    <t>Installation</t>
  </si>
  <si>
    <t>Maintenance</t>
  </si>
  <si>
    <t>Upgrades</t>
  </si>
  <si>
    <t>Routers</t>
  </si>
  <si>
    <t>Modems</t>
  </si>
  <si>
    <t>LAN Hubs and Transceivers</t>
  </si>
  <si>
    <t>Circuits to connect remote branches to the main library</t>
  </si>
  <si>
    <t>Hardware to serve the communications lines</t>
  </si>
  <si>
    <t>Operating Systems</t>
  </si>
  <si>
    <t>OPAC Gateway</t>
  </si>
  <si>
    <t>Staff Training</t>
  </si>
  <si>
    <t>User Training</t>
  </si>
  <si>
    <t>Travel</t>
  </si>
  <si>
    <t>RFP Development/analysis</t>
  </si>
  <si>
    <t>Consultant Fees</t>
  </si>
  <si>
    <t>Vendor/Provider Negotiations</t>
  </si>
  <si>
    <t>Personnel Time</t>
  </si>
  <si>
    <t>Program Analysis (e.g., Telecomm charges)</t>
  </si>
  <si>
    <t>Advertising charges</t>
  </si>
  <si>
    <t>Librarian Wages &amp; Salaries</t>
  </si>
  <si>
    <t>Librarian Benefits</t>
  </si>
  <si>
    <t>Paraprofessional Wages &amp; Salaries</t>
  </si>
  <si>
    <t>Paraprofessional Benefits</t>
  </si>
  <si>
    <t>New Computer Purchases</t>
  </si>
  <si>
    <t>Upfront Print Materials expenditures</t>
  </si>
  <si>
    <t>New furniture and equipment expenditures</t>
  </si>
  <si>
    <t>Interim/Set-Up Other operating expenditures</t>
  </si>
  <si>
    <t>Terminals and/or workstations</t>
  </si>
  <si>
    <t>Servers</t>
  </si>
  <si>
    <t>Printers/Scanners</t>
  </si>
  <si>
    <t>Technical Staff Wages &amp; Salaries</t>
  </si>
  <si>
    <t>Technical Staff Benefits</t>
  </si>
  <si>
    <t>Telephone Lines</t>
  </si>
  <si>
    <t>Hardware associated with internal LANs</t>
  </si>
  <si>
    <t>Applications software</t>
  </si>
  <si>
    <t>Navigation (e.g., FTP, WWW, Telnet, gopher)</t>
  </si>
  <si>
    <t>Training</t>
  </si>
  <si>
    <t>Documentation &amp; Training material development</t>
  </si>
  <si>
    <t>Ongoing User support (e.g., Help Desk expenses)</t>
  </si>
  <si>
    <t>Facilities Expenses</t>
  </si>
  <si>
    <t>Cabling/wiring</t>
  </si>
  <si>
    <t>Building renovation</t>
  </si>
  <si>
    <t>Collection development</t>
  </si>
  <si>
    <t>Research costs</t>
  </si>
  <si>
    <t>Program Planning/Management</t>
  </si>
  <si>
    <t>Strategic Planning (e.g., costed time for meetings/planning, etc.)</t>
  </si>
  <si>
    <t>Staff Wages, Salaries, and Benefits</t>
  </si>
  <si>
    <t>Upfront Licensing Costs</t>
  </si>
  <si>
    <t>Ongoing Licensing Costs</t>
  </si>
  <si>
    <t>Computer Maintenance and Ongoing Purchases</t>
  </si>
  <si>
    <t>Outsourcing Costs</t>
  </si>
  <si>
    <t>Cost to outsource question-answering during participating libraries' off-hours and for overflow</t>
  </si>
  <si>
    <t>Ongoing training and technical support from vendor</t>
  </si>
  <si>
    <t>Ongoing reporting provided by vendor</t>
  </si>
  <si>
    <t>Internet connectivity/provision fees</t>
  </si>
  <si>
    <t>Ongoing Print Materials expenditures</t>
  </si>
  <si>
    <t>Ongoing Electronic Materials expenditures</t>
  </si>
  <si>
    <t>Upfront Electronic Materials expenditures</t>
  </si>
  <si>
    <t>Telecommunications Costs</t>
  </si>
  <si>
    <t>Telecommunication Lines (e.g., T1)</t>
  </si>
  <si>
    <t>Ongoing Training</t>
  </si>
  <si>
    <t>Site licenses (e.g., database licenses)</t>
  </si>
  <si>
    <t>Interim/Set-up Space expenditures (e.g., lease, mortgage, or relevant proportion of land value)</t>
  </si>
  <si>
    <t>Documentation &amp; Training material development &amp; maintenance</t>
  </si>
  <si>
    <t>Web hosting and/or domain name fees</t>
  </si>
  <si>
    <t>Commercial services (e.g., Dialog)</t>
  </si>
  <si>
    <t>Miscellaneous supplies (e.g., paper, ink, filing materials, etc.)</t>
  </si>
  <si>
    <t>Project Costs</t>
  </si>
  <si>
    <t>Year 1</t>
  </si>
  <si>
    <t>Year 2</t>
  </si>
  <si>
    <t>Year 3</t>
  </si>
  <si>
    <t>Year 4</t>
  </si>
  <si>
    <t>Year 5</t>
  </si>
  <si>
    <t>Total</t>
  </si>
  <si>
    <t>Total Project Upfront Costs</t>
  </si>
  <si>
    <t>Upfront Licensing Fee</t>
  </si>
  <si>
    <t>Total - Print Material Expenditures</t>
  </si>
  <si>
    <t>Total - Telecommunications Expenditures</t>
  </si>
  <si>
    <t>Total - Computer Purchases &amp; Maintenance Expenditures</t>
  </si>
  <si>
    <t>Total - Salary &amp; Benefits Expenditures</t>
  </si>
  <si>
    <t>Total - License Expenditures</t>
  </si>
  <si>
    <t>Total - Electronic Material Expenditures</t>
  </si>
  <si>
    <t>Total - Training Expenditures</t>
  </si>
  <si>
    <t>Total - Planning &amp; Management Expenditures</t>
  </si>
  <si>
    <t>Licensing Costs</t>
  </si>
  <si>
    <t>Total - Salary &amp; Benefit Expenditures</t>
  </si>
  <si>
    <t>Total - Outsourcing Expenditures</t>
  </si>
  <si>
    <t>Total - Computer Maintenance &amp; Purchase Expenditures</t>
  </si>
  <si>
    <t>Total Telecommunications Expenditures</t>
  </si>
  <si>
    <t>Total Print Material Expenditures</t>
  </si>
  <si>
    <t>Total Electronic Material Expenditures</t>
  </si>
  <si>
    <t>Total Training Expenditures</t>
  </si>
  <si>
    <t>Total Facilities Expenditures</t>
  </si>
  <si>
    <t>Total Planning &amp; Management Expenditures</t>
  </si>
  <si>
    <t>Total Ongoing Costs</t>
  </si>
  <si>
    <t>***DATA IS ENTERED IN YELLOW AREAS ONLY</t>
  </si>
  <si>
    <t>Costs to be entered here are upfront costs associated with implementation of the project.</t>
  </si>
  <si>
    <t>Ongoing and long-term maintenance costs are to be input on the tab called "Ongoing Costs"</t>
  </si>
  <si>
    <t>Total - Facilities Expenditures</t>
  </si>
  <si>
    <t>Wages, Salaries &amp; Benefits</t>
  </si>
  <si>
    <t>Telecommunication Costs</t>
  </si>
  <si>
    <t>Print Materials Expenditures</t>
  </si>
  <si>
    <t>Electronic Materials Expenditures</t>
  </si>
  <si>
    <t>Facilities Expenditures</t>
  </si>
  <si>
    <t>Total Start-Up Costs</t>
  </si>
  <si>
    <t>Subtotal, by Year</t>
  </si>
  <si>
    <t>TOTAL</t>
  </si>
  <si>
    <t>Computer Maintenance &amp; Purchases</t>
  </si>
  <si>
    <t>Training Expenditures</t>
  </si>
  <si>
    <t>Outsourcing Expenditures</t>
  </si>
  <si>
    <t>Licensing Fees</t>
  </si>
  <si>
    <t>Discount Rate</t>
  </si>
  <si>
    <t>Present Value of Costs</t>
  </si>
  <si>
    <t>Start-Up Costs:</t>
  </si>
  <si>
    <t>Ongoing Costs:</t>
  </si>
  <si>
    <t>Annual Costs:</t>
  </si>
  <si>
    <t>Upfront training and technical support from vendor</t>
  </si>
  <si>
    <t>Upfront reporting provided by vendor</t>
  </si>
  <si>
    <t>OngoingSpace expenditures (e.g., lease, mortgage, or relevant proportion of land value)</t>
  </si>
  <si>
    <t>Ongoing Other operating expenditures</t>
  </si>
  <si>
    <t>Cost to provide outsourcing of question-answering to other libraries in your consortia </t>
  </si>
  <si>
    <t>Contingency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</si>
</sst>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%"/>
    <numFmt numFmtId="170" formatCode="&quot;$&quot;#,##0"/>
    <numFmt numFmtId="171" formatCode="&quot;$&quot;#,##0.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color indexed="10"/>
      <name val="Arial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8" fontId="4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ill="1" applyBorder="1" applyAlignment="1">
      <alignment/>
    </xf>
    <xf numFmtId="0" fontId="5" fillId="2" borderId="1" xfId="0" applyNumberFormat="1" applyFont="1" applyFill="1" applyBorder="1" applyAlignment="1" applyProtection="1">
      <alignment/>
      <protection/>
    </xf>
    <xf numFmtId="168" fontId="4" fillId="2" borderId="2" xfId="0" applyNumberFormat="1" applyFont="1" applyFill="1" applyBorder="1" applyAlignment="1" applyProtection="1">
      <alignment horizontal="centerContinuous"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NumberFormat="1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2" borderId="4" xfId="0" applyNumberFormat="1" applyFont="1" applyFill="1" applyBorder="1" applyAlignment="1" applyProtection="1">
      <alignment/>
      <protection/>
    </xf>
    <xf numFmtId="168" fontId="4" fillId="2" borderId="6" xfId="0" applyNumberFormat="1" applyFont="1" applyFill="1" applyBorder="1" applyAlignment="1" applyProtection="1">
      <alignment horizontal="center"/>
      <protection/>
    </xf>
    <xf numFmtId="0" fontId="5" fillId="3" borderId="7" xfId="0" applyFont="1" applyFill="1" applyBorder="1" applyAlignment="1">
      <alignment/>
    </xf>
    <xf numFmtId="0" fontId="6" fillId="4" borderId="8" xfId="0" applyFont="1" applyFill="1" applyBorder="1" applyAlignment="1">
      <alignment horizontal="right" indent="1"/>
    </xf>
    <xf numFmtId="0" fontId="4" fillId="2" borderId="9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5" fillId="2" borderId="1" xfId="0" applyNumberFormat="1" applyFont="1" applyFill="1" applyBorder="1" applyAlignment="1" applyProtection="1">
      <alignment/>
      <protection locked="0"/>
    </xf>
    <xf numFmtId="168" fontId="4" fillId="2" borderId="2" xfId="0" applyNumberFormat="1" applyFont="1" applyFill="1" applyBorder="1" applyAlignment="1" applyProtection="1">
      <alignment horizontal="centerContinuous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2" borderId="4" xfId="0" applyNumberFormat="1" applyFont="1" applyFill="1" applyBorder="1" applyAlignment="1" applyProtection="1">
      <alignment/>
      <protection locked="0"/>
    </xf>
    <xf numFmtId="168" fontId="4" fillId="2" borderId="0" xfId="0" applyNumberFormat="1" applyFont="1" applyFill="1" applyBorder="1" applyAlignment="1" applyProtection="1">
      <alignment horizontal="centerContinuous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4" xfId="0" applyNumberFormat="1" applyFont="1" applyFill="1" applyBorder="1" applyAlignment="1" applyProtection="1">
      <alignment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5" borderId="11" xfId="0" applyFill="1" applyBorder="1" applyAlignment="1" applyProtection="1">
      <alignment horizontal="left" indent="1"/>
      <protection locked="0"/>
    </xf>
    <xf numFmtId="0" fontId="6" fillId="4" borderId="8" xfId="0" applyFont="1" applyFill="1" applyBorder="1" applyAlignment="1" applyProtection="1">
      <alignment horizontal="right" inden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5" borderId="8" xfId="0" applyFill="1" applyBorder="1" applyAlignment="1" applyProtection="1">
      <alignment horizontal="left" indent="1"/>
      <protection locked="0"/>
    </xf>
    <xf numFmtId="0" fontId="6" fillId="4" borderId="10" xfId="0" applyFont="1" applyFill="1" applyBorder="1" applyAlignment="1" applyProtection="1">
      <alignment horizontal="right" indent="1"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7" fillId="2" borderId="4" xfId="0" applyNumberFormat="1" applyFont="1" applyFill="1" applyBorder="1" applyAlignment="1" applyProtection="1">
      <alignment/>
      <protection/>
    </xf>
    <xf numFmtId="168" fontId="4" fillId="2" borderId="6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/>
    </xf>
    <xf numFmtId="0" fontId="0" fillId="6" borderId="14" xfId="0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6" borderId="15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6" borderId="19" xfId="0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40" fontId="0" fillId="5" borderId="21" xfId="0" applyNumberFormat="1" applyFill="1" applyBorder="1" applyAlignment="1" applyProtection="1">
      <alignment horizontal="right"/>
      <protection locked="0"/>
    </xf>
    <xf numFmtId="40" fontId="0" fillId="7" borderId="18" xfId="0" applyNumberFormat="1" applyFill="1" applyBorder="1" applyAlignment="1" applyProtection="1">
      <alignment horizontal="right"/>
      <protection/>
    </xf>
    <xf numFmtId="40" fontId="2" fillId="2" borderId="21" xfId="0" applyNumberFormat="1" applyFont="1" applyFill="1" applyBorder="1" applyAlignment="1" applyProtection="1">
      <alignment horizontal="right"/>
      <protection/>
    </xf>
    <xf numFmtId="40" fontId="6" fillId="2" borderId="20" xfId="0" applyNumberFormat="1" applyFont="1" applyFill="1" applyBorder="1" applyAlignment="1" applyProtection="1">
      <alignment horizontal="right"/>
      <protection/>
    </xf>
    <xf numFmtId="40" fontId="5" fillId="3" borderId="22" xfId="0" applyNumberFormat="1" applyFont="1" applyFill="1" applyBorder="1" applyAlignment="1" applyProtection="1">
      <alignment horizontal="right"/>
      <protection/>
    </xf>
    <xf numFmtId="40" fontId="5" fillId="3" borderId="23" xfId="0" applyNumberFormat="1" applyFont="1" applyFill="1" applyBorder="1" applyAlignment="1" applyProtection="1">
      <alignment horizontal="right"/>
      <protection/>
    </xf>
    <xf numFmtId="0" fontId="0" fillId="6" borderId="0" xfId="0" applyFill="1" applyBorder="1" applyAlignment="1">
      <alignment horizontal="left" indent="1"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0" fontId="0" fillId="6" borderId="0" xfId="0" applyFill="1" applyBorder="1" applyAlignment="1">
      <alignment/>
    </xf>
    <xf numFmtId="0" fontId="0" fillId="2" borderId="0" xfId="0" applyFill="1" applyBorder="1" applyAlignment="1">
      <alignment horizontal="left" indent="1"/>
    </xf>
    <xf numFmtId="0" fontId="9" fillId="6" borderId="27" xfId="0" applyFont="1" applyFill="1" applyBorder="1" applyAlignment="1">
      <alignment horizontal="right"/>
    </xf>
    <xf numFmtId="0" fontId="9" fillId="6" borderId="28" xfId="0" applyFont="1" applyFill="1" applyBorder="1" applyAlignment="1">
      <alignment horizontal="right"/>
    </xf>
    <xf numFmtId="6" fontId="0" fillId="2" borderId="0" xfId="0" applyNumberFormat="1" applyFill="1" applyBorder="1" applyAlignment="1">
      <alignment horizontal="right"/>
    </xf>
    <xf numFmtId="6" fontId="0" fillId="6" borderId="0" xfId="0" applyNumberFormat="1" applyFill="1" applyBorder="1" applyAlignment="1">
      <alignment horizontal="right"/>
    </xf>
    <xf numFmtId="6" fontId="8" fillId="6" borderId="29" xfId="0" applyNumberFormat="1" applyFont="1" applyFill="1" applyBorder="1" applyAlignment="1">
      <alignment horizontal="right"/>
    </xf>
    <xf numFmtId="6" fontId="8" fillId="6" borderId="30" xfId="0" applyNumberFormat="1" applyFont="1" applyFill="1" applyBorder="1" applyAlignment="1">
      <alignment horizontal="right"/>
    </xf>
    <xf numFmtId="170" fontId="0" fillId="6" borderId="31" xfId="0" applyNumberFormat="1" applyFill="1" applyBorder="1" applyAlignment="1">
      <alignment/>
    </xf>
    <xf numFmtId="0" fontId="11" fillId="2" borderId="32" xfId="0" applyFont="1" applyFill="1" applyBorder="1" applyAlignment="1">
      <alignment horizontal="right"/>
    </xf>
    <xf numFmtId="6" fontId="11" fillId="2" borderId="33" xfId="0" applyNumberFormat="1" applyFont="1" applyFill="1" applyBorder="1" applyAlignment="1">
      <alignment horizontal="right"/>
    </xf>
    <xf numFmtId="6" fontId="11" fillId="2" borderId="34" xfId="0" applyNumberFormat="1" applyFont="1" applyFill="1" applyBorder="1" applyAlignment="1">
      <alignment horizontal="right"/>
    </xf>
    <xf numFmtId="170" fontId="0" fillId="2" borderId="0" xfId="0" applyNumberFormat="1" applyFill="1" applyBorder="1" applyAlignment="1">
      <alignment/>
    </xf>
    <xf numFmtId="170" fontId="0" fillId="6" borderId="0" xfId="0" applyNumberFormat="1" applyFill="1" applyBorder="1" applyAlignment="1">
      <alignment/>
    </xf>
    <xf numFmtId="0" fontId="2" fillId="0" borderId="8" xfId="0" applyFont="1" applyBorder="1" applyAlignment="1" applyProtection="1">
      <alignment/>
      <protection/>
    </xf>
    <xf numFmtId="0" fontId="0" fillId="6" borderId="14" xfId="0" applyFill="1" applyBorder="1" applyAlignment="1" applyProtection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6" fontId="0" fillId="5" borderId="35" xfId="0" applyNumberFormat="1" applyFill="1" applyBorder="1" applyAlignment="1" applyProtection="1">
      <alignment horizontal="right"/>
      <protection locked="0"/>
    </xf>
    <xf numFmtId="6" fontId="0" fillId="7" borderId="6" xfId="0" applyNumberFormat="1" applyFill="1" applyBorder="1" applyAlignment="1" applyProtection="1">
      <alignment horizontal="right"/>
      <protection/>
    </xf>
    <xf numFmtId="6" fontId="2" fillId="4" borderId="21" xfId="0" applyNumberFormat="1" applyFont="1" applyFill="1" applyBorder="1" applyAlignment="1">
      <alignment horizontal="right"/>
    </xf>
    <xf numFmtId="6" fontId="6" fillId="4" borderId="17" xfId="0" applyNumberFormat="1" applyFont="1" applyFill="1" applyBorder="1" applyAlignment="1">
      <alignment horizontal="right"/>
    </xf>
    <xf numFmtId="6" fontId="0" fillId="5" borderId="21" xfId="0" applyNumberFormat="1" applyFill="1" applyBorder="1" applyAlignment="1" applyProtection="1">
      <alignment horizontal="right"/>
      <protection locked="0"/>
    </xf>
    <xf numFmtId="6" fontId="0" fillId="7" borderId="17" xfId="0" applyNumberFormat="1" applyFill="1" applyBorder="1" applyAlignment="1" applyProtection="1">
      <alignment horizontal="right"/>
      <protection/>
    </xf>
    <xf numFmtId="6" fontId="5" fillId="3" borderId="36" xfId="0" applyNumberFormat="1" applyFont="1" applyFill="1" applyBorder="1" applyAlignment="1">
      <alignment horizontal="right"/>
    </xf>
    <xf numFmtId="6" fontId="8" fillId="6" borderId="29" xfId="0" applyNumberFormat="1" applyFont="1" applyFill="1" applyBorder="1" applyAlignment="1">
      <alignment/>
    </xf>
    <xf numFmtId="6" fontId="8" fillId="6" borderId="30" xfId="0" applyNumberFormat="1" applyFont="1" applyFill="1" applyBorder="1" applyAlignment="1">
      <alignment/>
    </xf>
    <xf numFmtId="6" fontId="8" fillId="6" borderId="0" xfId="0" applyNumberFormat="1" applyFont="1" applyFill="1" applyBorder="1" applyAlignment="1">
      <alignment/>
    </xf>
    <xf numFmtId="9" fontId="10" fillId="5" borderId="21" xfId="0" applyNumberFormat="1" applyFont="1" applyFill="1" applyBorder="1" applyAlignment="1">
      <alignment horizontal="right"/>
    </xf>
    <xf numFmtId="6" fontId="10" fillId="8" borderId="21" xfId="0" applyNumberFormat="1" applyFont="1" applyFill="1" applyBorder="1" applyAlignment="1">
      <alignment horizontal="right"/>
    </xf>
    <xf numFmtId="6" fontId="5" fillId="3" borderId="37" xfId="0" applyNumberFormat="1" applyFont="1" applyFill="1" applyBorder="1" applyAlignment="1">
      <alignment horizontal="right"/>
    </xf>
    <xf numFmtId="0" fontId="0" fillId="5" borderId="10" xfId="0" applyFill="1" applyBorder="1" applyAlignment="1" applyProtection="1">
      <alignment horizontal="left" indent="1"/>
      <protection locked="0"/>
    </xf>
    <xf numFmtId="0" fontId="10" fillId="5" borderId="21" xfId="0" applyFont="1" applyFill="1" applyBorder="1" applyAlignment="1">
      <alignment horizontal="right"/>
    </xf>
    <xf numFmtId="0" fontId="10" fillId="8" borderId="2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3" sqref="E3"/>
    </sheetView>
  </sheetViews>
  <sheetFormatPr defaultColWidth="9.140625" defaultRowHeight="12.75"/>
  <cols>
    <col min="1" max="1" width="8.8515625" style="52" customWidth="1"/>
    <col min="2" max="2" width="33.00390625" style="52" bestFit="1" customWidth="1"/>
    <col min="3" max="3" width="11.140625" style="52" customWidth="1"/>
    <col min="4" max="4" width="11.140625" style="52" bestFit="1" customWidth="1"/>
    <col min="5" max="8" width="11.140625" style="52" customWidth="1"/>
    <col min="9" max="16384" width="8.8515625" style="52" customWidth="1"/>
  </cols>
  <sheetData>
    <row r="1" spans="1:9" ht="12.75">
      <c r="A1" s="53"/>
      <c r="B1" s="54"/>
      <c r="C1" s="54"/>
      <c r="D1" s="54"/>
      <c r="E1" s="54"/>
      <c r="F1" s="54"/>
      <c r="G1" s="54"/>
      <c r="H1" s="54"/>
      <c r="I1" s="55"/>
    </row>
    <row r="2" spans="1:9" ht="16.5">
      <c r="A2" s="56"/>
      <c r="B2" s="61" t="s">
        <v>114</v>
      </c>
      <c r="C2" s="62" t="s">
        <v>69</v>
      </c>
      <c r="D2" s="62" t="s">
        <v>70</v>
      </c>
      <c r="E2" s="64"/>
      <c r="F2" s="64"/>
      <c r="G2" s="64"/>
      <c r="H2" s="64"/>
      <c r="I2" s="57"/>
    </row>
    <row r="3" spans="1:9" ht="12.75">
      <c r="A3" s="56"/>
      <c r="B3" s="65" t="s">
        <v>111</v>
      </c>
      <c r="C3" s="68">
        <f>'Start-Up Costs'!B8</f>
        <v>0</v>
      </c>
      <c r="D3" s="68">
        <f>'Start-Up Costs'!C8</f>
        <v>0</v>
      </c>
      <c r="E3" s="64"/>
      <c r="F3" s="64"/>
      <c r="G3" s="64"/>
      <c r="H3" s="64"/>
      <c r="I3" s="57"/>
    </row>
    <row r="4" spans="1:9" ht="12.75">
      <c r="A4" s="56"/>
      <c r="B4" s="51" t="s">
        <v>110</v>
      </c>
      <c r="C4" s="69">
        <f>'Start-Up Costs'!B14</f>
        <v>0</v>
      </c>
      <c r="D4" s="69">
        <f>'Start-Up Costs'!C14</f>
        <v>0</v>
      </c>
      <c r="E4" s="64"/>
      <c r="F4" s="64"/>
      <c r="G4" s="64"/>
      <c r="H4" s="64"/>
      <c r="I4" s="57"/>
    </row>
    <row r="5" spans="1:9" ht="12.75">
      <c r="A5" s="56"/>
      <c r="B5" s="65" t="s">
        <v>100</v>
      </c>
      <c r="C5" s="68">
        <f>'Start-Up Costs'!B22</f>
        <v>0</v>
      </c>
      <c r="D5" s="68">
        <f>'Start-Up Costs'!C22</f>
        <v>0</v>
      </c>
      <c r="E5" s="64"/>
      <c r="F5" s="64"/>
      <c r="G5" s="64"/>
      <c r="H5" s="64"/>
      <c r="I5" s="57"/>
    </row>
    <row r="6" spans="1:9" ht="12.75">
      <c r="A6" s="56"/>
      <c r="B6" s="51" t="s">
        <v>24</v>
      </c>
      <c r="C6" s="69">
        <f>'Start-Up Costs'!B29</f>
        <v>0</v>
      </c>
      <c r="D6" s="69">
        <f>'Start-Up Costs'!C29</f>
        <v>0</v>
      </c>
      <c r="E6" s="64"/>
      <c r="F6" s="64"/>
      <c r="G6" s="64"/>
      <c r="H6" s="64"/>
      <c r="I6" s="57"/>
    </row>
    <row r="7" spans="1:9" ht="12.75">
      <c r="A7" s="56"/>
      <c r="B7" s="65" t="s">
        <v>101</v>
      </c>
      <c r="C7" s="68">
        <f>'Start-Up Costs'!B41</f>
        <v>0</v>
      </c>
      <c r="D7" s="68">
        <f>'Start-Up Costs'!C41</f>
        <v>0</v>
      </c>
      <c r="E7" s="64"/>
      <c r="F7" s="64"/>
      <c r="G7" s="64"/>
      <c r="H7" s="64"/>
      <c r="I7" s="57"/>
    </row>
    <row r="8" spans="1:9" ht="12.75">
      <c r="A8" s="56"/>
      <c r="B8" s="51" t="s">
        <v>102</v>
      </c>
      <c r="C8" s="69">
        <f>'Start-Up Costs'!B45</f>
        <v>0</v>
      </c>
      <c r="D8" s="69">
        <f>'Start-Up Costs'!C45</f>
        <v>0</v>
      </c>
      <c r="E8" s="64"/>
      <c r="F8" s="64"/>
      <c r="G8" s="64"/>
      <c r="H8" s="64"/>
      <c r="I8" s="57"/>
    </row>
    <row r="9" spans="1:9" ht="12.75">
      <c r="A9" s="56"/>
      <c r="B9" s="65" t="s">
        <v>103</v>
      </c>
      <c r="C9" s="68">
        <f>'Start-Up Costs'!B55</f>
        <v>0</v>
      </c>
      <c r="D9" s="68">
        <f>'Start-Up Costs'!C55</f>
        <v>0</v>
      </c>
      <c r="E9" s="64"/>
      <c r="F9" s="64"/>
      <c r="G9" s="64"/>
      <c r="H9" s="64"/>
      <c r="I9" s="57"/>
    </row>
    <row r="10" spans="1:9" ht="12.75">
      <c r="A10" s="56"/>
      <c r="B10" s="51" t="s">
        <v>109</v>
      </c>
      <c r="C10" s="69">
        <f>'Start-Up Costs'!B63</f>
        <v>0</v>
      </c>
      <c r="D10" s="69">
        <f>'Start-Up Costs'!C63</f>
        <v>0</v>
      </c>
      <c r="E10" s="64"/>
      <c r="F10" s="64"/>
      <c r="G10" s="64"/>
      <c r="H10" s="64"/>
      <c r="I10" s="57"/>
    </row>
    <row r="11" spans="1:9" ht="12.75">
      <c r="A11" s="56"/>
      <c r="B11" s="65" t="s">
        <v>104</v>
      </c>
      <c r="C11" s="68">
        <f>'Start-Up Costs'!B70</f>
        <v>0</v>
      </c>
      <c r="D11" s="68">
        <f>'Start-Up Costs'!C70</f>
        <v>0</v>
      </c>
      <c r="E11" s="64"/>
      <c r="F11" s="64"/>
      <c r="G11" s="64"/>
      <c r="H11" s="64"/>
      <c r="I11" s="57"/>
    </row>
    <row r="12" spans="1:9" ht="12.75">
      <c r="A12" s="56"/>
      <c r="B12" s="51" t="s">
        <v>45</v>
      </c>
      <c r="C12" s="69">
        <f>'Start-Up Costs'!B82</f>
        <v>0</v>
      </c>
      <c r="D12" s="69">
        <f>'Start-Up Costs'!C82</f>
        <v>0</v>
      </c>
      <c r="E12" s="64"/>
      <c r="F12" s="64"/>
      <c r="G12" s="64"/>
      <c r="H12" s="64"/>
      <c r="I12" s="57"/>
    </row>
    <row r="13" spans="1:9" ht="20.25" customHeight="1" thickBot="1">
      <c r="A13" s="56"/>
      <c r="B13" s="73" t="s">
        <v>106</v>
      </c>
      <c r="C13" s="74">
        <f>SUM(C3:C12)</f>
        <v>0</v>
      </c>
      <c r="D13" s="75">
        <f>SUM(D3:D12)</f>
        <v>0</v>
      </c>
      <c r="E13" s="64"/>
      <c r="F13" s="64"/>
      <c r="G13" s="64"/>
      <c r="H13" s="64"/>
      <c r="I13" s="57"/>
    </row>
    <row r="14" spans="1:9" ht="20.25" customHeight="1" thickTop="1">
      <c r="A14" s="56"/>
      <c r="B14" s="66" t="s">
        <v>105</v>
      </c>
      <c r="C14" s="70"/>
      <c r="D14" s="71">
        <f>SUM(C13:D13)</f>
        <v>0</v>
      </c>
      <c r="E14" s="64"/>
      <c r="F14" s="64"/>
      <c r="G14" s="64"/>
      <c r="H14" s="64"/>
      <c r="I14" s="57"/>
    </row>
    <row r="15" spans="1:9" ht="12.75">
      <c r="A15" s="56"/>
      <c r="B15" s="64"/>
      <c r="C15" s="64"/>
      <c r="D15" s="64"/>
      <c r="E15" s="64"/>
      <c r="F15" s="64"/>
      <c r="G15" s="64"/>
      <c r="H15" s="64"/>
      <c r="I15" s="57"/>
    </row>
    <row r="16" spans="1:9" ht="12.75">
      <c r="A16" s="56"/>
      <c r="B16" s="64"/>
      <c r="C16" s="64"/>
      <c r="D16" s="64"/>
      <c r="E16" s="64"/>
      <c r="F16" s="64"/>
      <c r="G16" s="64"/>
      <c r="H16" s="64"/>
      <c r="I16" s="57"/>
    </row>
    <row r="17" spans="1:9" ht="12.75">
      <c r="A17" s="56"/>
      <c r="B17" s="64"/>
      <c r="C17" s="64"/>
      <c r="D17" s="64"/>
      <c r="E17" s="64"/>
      <c r="F17" s="64"/>
      <c r="G17" s="64"/>
      <c r="H17" s="64"/>
      <c r="I17" s="57"/>
    </row>
    <row r="18" spans="1:9" ht="16.5">
      <c r="A18" s="56"/>
      <c r="B18" s="61" t="s">
        <v>115</v>
      </c>
      <c r="C18" s="62" t="s">
        <v>69</v>
      </c>
      <c r="D18" s="62" t="s">
        <v>70</v>
      </c>
      <c r="E18" s="62" t="s">
        <v>71</v>
      </c>
      <c r="F18" s="62" t="s">
        <v>72</v>
      </c>
      <c r="G18" s="62" t="s">
        <v>73</v>
      </c>
      <c r="H18" s="62" t="s">
        <v>107</v>
      </c>
      <c r="I18" s="57"/>
    </row>
    <row r="19" spans="1:9" ht="12.75">
      <c r="A19" s="56"/>
      <c r="B19" s="65" t="s">
        <v>111</v>
      </c>
      <c r="C19" s="76">
        <f>'Ongoing Costs'!B6</f>
        <v>0</v>
      </c>
      <c r="D19" s="76">
        <f>'Ongoing Costs'!C6</f>
        <v>0</v>
      </c>
      <c r="E19" s="76">
        <f>'Ongoing Costs'!D6</f>
        <v>0</v>
      </c>
      <c r="F19" s="76">
        <f>'Ongoing Costs'!E6</f>
        <v>0</v>
      </c>
      <c r="G19" s="76">
        <f>'Ongoing Costs'!F6</f>
        <v>0</v>
      </c>
      <c r="H19" s="76">
        <f>SUM(C19:G19)</f>
        <v>0</v>
      </c>
      <c r="I19" s="57"/>
    </row>
    <row r="20" spans="1:9" ht="12.75">
      <c r="A20" s="56"/>
      <c r="B20" s="51" t="s">
        <v>110</v>
      </c>
      <c r="C20" s="77">
        <f>'Ongoing Costs'!B12</f>
        <v>0</v>
      </c>
      <c r="D20" s="77">
        <f>'Ongoing Costs'!C12</f>
        <v>0</v>
      </c>
      <c r="E20" s="77">
        <f>'Ongoing Costs'!D12</f>
        <v>0</v>
      </c>
      <c r="F20" s="77">
        <f>'Ongoing Costs'!E12</f>
        <v>0</v>
      </c>
      <c r="G20" s="77">
        <f>'Ongoing Costs'!F12</f>
        <v>0</v>
      </c>
      <c r="H20" s="77">
        <f>SUM(C20:G20)</f>
        <v>0</v>
      </c>
      <c r="I20" s="57"/>
    </row>
    <row r="21" spans="1:9" ht="12.75">
      <c r="A21" s="56"/>
      <c r="B21" s="65" t="s">
        <v>100</v>
      </c>
      <c r="C21" s="76">
        <f>'Ongoing Costs'!B20</f>
        <v>14144</v>
      </c>
      <c r="D21" s="76">
        <f>'Ongoing Costs'!C20</f>
        <v>0</v>
      </c>
      <c r="E21" s="76">
        <f>'Ongoing Costs'!D20</f>
        <v>0</v>
      </c>
      <c r="F21" s="76">
        <f>'Ongoing Costs'!E20</f>
        <v>0</v>
      </c>
      <c r="G21" s="76">
        <f>'Ongoing Costs'!F20</f>
        <v>0</v>
      </c>
      <c r="H21" s="76">
        <f aca="true" t="shared" si="0" ref="H21:H28">SUM(C21:G21)</f>
        <v>14144</v>
      </c>
      <c r="I21" s="57"/>
    </row>
    <row r="22" spans="1:9" ht="12.75">
      <c r="A22" s="56"/>
      <c r="B22" s="51" t="s">
        <v>108</v>
      </c>
      <c r="C22" s="77">
        <f>'Ongoing Costs'!B28</f>
        <v>2000</v>
      </c>
      <c r="D22" s="77">
        <f>'Ongoing Costs'!C28</f>
        <v>0</v>
      </c>
      <c r="E22" s="77">
        <f>'Ongoing Costs'!D28</f>
        <v>0</v>
      </c>
      <c r="F22" s="77">
        <f>'Ongoing Costs'!E28</f>
        <v>0</v>
      </c>
      <c r="G22" s="77">
        <f>'Ongoing Costs'!F28</f>
        <v>0</v>
      </c>
      <c r="H22" s="77">
        <f t="shared" si="0"/>
        <v>2000</v>
      </c>
      <c r="I22" s="57"/>
    </row>
    <row r="23" spans="1:9" ht="12.75">
      <c r="A23" s="56"/>
      <c r="B23" s="65" t="s">
        <v>59</v>
      </c>
      <c r="C23" s="76">
        <f>'Ongoing Costs'!B40</f>
        <v>0</v>
      </c>
      <c r="D23" s="76">
        <f>'Ongoing Costs'!C40</f>
        <v>0</v>
      </c>
      <c r="E23" s="76">
        <f>'Ongoing Costs'!D40</f>
        <v>0</v>
      </c>
      <c r="F23" s="76">
        <f>'Ongoing Costs'!E40</f>
        <v>0</v>
      </c>
      <c r="G23" s="76">
        <f>'Ongoing Costs'!F40</f>
        <v>0</v>
      </c>
      <c r="H23" s="76">
        <f t="shared" si="0"/>
        <v>0</v>
      </c>
      <c r="I23" s="57"/>
    </row>
    <row r="24" spans="1:9" ht="12.75">
      <c r="A24" s="56"/>
      <c r="B24" s="51" t="s">
        <v>102</v>
      </c>
      <c r="C24" s="77">
        <f>'Ongoing Costs'!B44</f>
        <v>0</v>
      </c>
      <c r="D24" s="77">
        <f>'Ongoing Costs'!C44</f>
        <v>0</v>
      </c>
      <c r="E24" s="77">
        <f>'Ongoing Costs'!D44</f>
        <v>0</v>
      </c>
      <c r="F24" s="77">
        <f>'Ongoing Costs'!E44</f>
        <v>0</v>
      </c>
      <c r="G24" s="77">
        <f>'Ongoing Costs'!F44</f>
        <v>0</v>
      </c>
      <c r="H24" s="77">
        <f t="shared" si="0"/>
        <v>0</v>
      </c>
      <c r="I24" s="57"/>
    </row>
    <row r="25" spans="1:9" ht="12.75">
      <c r="A25" s="56"/>
      <c r="B25" s="65" t="s">
        <v>103</v>
      </c>
      <c r="C25" s="76">
        <f>'Ongoing Costs'!B54</f>
        <v>0</v>
      </c>
      <c r="D25" s="76">
        <f>'Ongoing Costs'!C54</f>
        <v>0</v>
      </c>
      <c r="E25" s="76">
        <f>'Ongoing Costs'!D54</f>
        <v>0</v>
      </c>
      <c r="F25" s="76">
        <f>'Ongoing Costs'!E54</f>
        <v>0</v>
      </c>
      <c r="G25" s="76">
        <f>'Ongoing Costs'!F54</f>
        <v>0</v>
      </c>
      <c r="H25" s="76">
        <f t="shared" si="0"/>
        <v>0</v>
      </c>
      <c r="I25" s="57"/>
    </row>
    <row r="26" spans="1:9" ht="12.75">
      <c r="A26" s="56"/>
      <c r="B26" s="51" t="s">
        <v>109</v>
      </c>
      <c r="C26" s="77">
        <f>'Ongoing Costs'!B62</f>
        <v>3585</v>
      </c>
      <c r="D26" s="77">
        <f>'Ongoing Costs'!C62</f>
        <v>0</v>
      </c>
      <c r="E26" s="77">
        <f>'Ongoing Costs'!D62</f>
        <v>0</v>
      </c>
      <c r="F26" s="77">
        <f>'Ongoing Costs'!E62</f>
        <v>0</v>
      </c>
      <c r="G26" s="77">
        <f>'Ongoing Costs'!F62</f>
        <v>0</v>
      </c>
      <c r="H26" s="77">
        <f t="shared" si="0"/>
        <v>3585</v>
      </c>
      <c r="I26" s="57"/>
    </row>
    <row r="27" spans="1:9" ht="12.75">
      <c r="A27" s="56"/>
      <c r="B27" s="65" t="s">
        <v>104</v>
      </c>
      <c r="C27" s="76">
        <f>'Ongoing Costs'!B69</f>
        <v>0</v>
      </c>
      <c r="D27" s="76">
        <f>'Ongoing Costs'!C69</f>
        <v>0</v>
      </c>
      <c r="E27" s="76">
        <f>'Ongoing Costs'!D69</f>
        <v>0</v>
      </c>
      <c r="F27" s="76">
        <f>'Ongoing Costs'!E69</f>
        <v>0</v>
      </c>
      <c r="G27" s="76">
        <f>'Ongoing Costs'!F69</f>
        <v>0</v>
      </c>
      <c r="H27" s="76">
        <f t="shared" si="0"/>
        <v>0</v>
      </c>
      <c r="I27" s="57"/>
    </row>
    <row r="28" spans="1:9" ht="13.5" thickBot="1">
      <c r="A28" s="56"/>
      <c r="B28" s="51" t="s">
        <v>45</v>
      </c>
      <c r="C28" s="72">
        <f>'Ongoing Costs'!B81</f>
        <v>0</v>
      </c>
      <c r="D28" s="72">
        <f>'Ongoing Costs'!C81</f>
        <v>0</v>
      </c>
      <c r="E28" s="72">
        <f>'Ongoing Costs'!D81</f>
        <v>0</v>
      </c>
      <c r="F28" s="72">
        <f>'Ongoing Costs'!E81</f>
        <v>0</v>
      </c>
      <c r="G28" s="72">
        <f>'Ongoing Costs'!F81</f>
        <v>0</v>
      </c>
      <c r="H28" s="72">
        <f t="shared" si="0"/>
        <v>0</v>
      </c>
      <c r="I28" s="57"/>
    </row>
    <row r="29" spans="1:9" ht="20.25" customHeight="1" thickTop="1">
      <c r="A29" s="56"/>
      <c r="B29" s="67" t="s">
        <v>116</v>
      </c>
      <c r="C29" s="88">
        <f aca="true" t="shared" si="1" ref="C29:H29">SUM(C19:C28)</f>
        <v>19729</v>
      </c>
      <c r="D29" s="88">
        <f t="shared" si="1"/>
        <v>0</v>
      </c>
      <c r="E29" s="88">
        <f t="shared" si="1"/>
        <v>0</v>
      </c>
      <c r="F29" s="88">
        <f t="shared" si="1"/>
        <v>0</v>
      </c>
      <c r="G29" s="88">
        <f t="shared" si="1"/>
        <v>0</v>
      </c>
      <c r="H29" s="89">
        <f t="shared" si="1"/>
        <v>19729</v>
      </c>
      <c r="I29" s="57"/>
    </row>
    <row r="30" spans="1:9" ht="20.25" customHeight="1">
      <c r="A30" s="56"/>
      <c r="B30" s="63"/>
      <c r="C30" s="90"/>
      <c r="D30" s="90"/>
      <c r="E30" s="90"/>
      <c r="F30" s="90"/>
      <c r="G30" s="90"/>
      <c r="H30" s="90"/>
      <c r="I30" s="57"/>
    </row>
    <row r="31" spans="1:9" ht="12.75">
      <c r="A31" s="56"/>
      <c r="B31" s="64"/>
      <c r="C31" s="64"/>
      <c r="D31" s="64"/>
      <c r="E31" s="64"/>
      <c r="F31" s="64"/>
      <c r="G31" s="64"/>
      <c r="H31" s="64"/>
      <c r="I31" s="57"/>
    </row>
    <row r="32" spans="1:9" ht="18">
      <c r="A32" s="56"/>
      <c r="D32" s="64"/>
      <c r="E32" s="95" t="s">
        <v>112</v>
      </c>
      <c r="F32" s="95"/>
      <c r="G32" s="95"/>
      <c r="H32" s="91">
        <v>0.1</v>
      </c>
      <c r="I32" s="57"/>
    </row>
    <row r="33" spans="1:9" ht="18">
      <c r="A33" s="56"/>
      <c r="D33" s="64"/>
      <c r="E33" s="96" t="s">
        <v>113</v>
      </c>
      <c r="F33" s="96"/>
      <c r="G33" s="96"/>
      <c r="H33" s="92">
        <f>(C29+C13)+NPV(H32,(D13+D29),E29,F29,G29)</f>
        <v>19729</v>
      </c>
      <c r="I33" s="57"/>
    </row>
    <row r="34" spans="1:9" ht="19.5" customHeight="1" thickBot="1">
      <c r="A34" s="58"/>
      <c r="B34" s="59"/>
      <c r="C34" s="59"/>
      <c r="D34" s="59"/>
      <c r="E34" s="59"/>
      <c r="F34" s="59"/>
      <c r="G34" s="59"/>
      <c r="H34" s="59"/>
      <c r="I34" s="60"/>
    </row>
  </sheetData>
  <mergeCells count="2">
    <mergeCell ref="E32:G32"/>
    <mergeCell ref="E33:G33"/>
  </mergeCells>
  <printOptions horizontalCentered="1"/>
  <pageMargins left="0.75" right="0.75" top="1.13" bottom="0.72" header="0.33" footer="0.35"/>
  <pageSetup orientation="landscape" r:id="rId1"/>
  <headerFooter alignWithMargins="0">
    <oddHeader>&amp;C&amp;"Trebuchet MS,Bold"&amp;12Present Value of Project Costs
&amp;"Trebuchet MS,Bold Italic"(Five Year Discount Period Assumed)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pane ySplit="5" topLeftCell="BM6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80.57421875" style="0" bestFit="1" customWidth="1"/>
    <col min="2" max="2" width="11.00390625" style="0" bestFit="1" customWidth="1"/>
    <col min="3" max="4" width="11.00390625" style="0" customWidth="1"/>
  </cols>
  <sheetData>
    <row r="1" spans="1:4" ht="15.75">
      <c r="A1" s="3" t="s">
        <v>68</v>
      </c>
      <c r="B1" s="4"/>
      <c r="C1" s="5"/>
      <c r="D1" s="6"/>
    </row>
    <row r="2" spans="1:4" ht="12.75">
      <c r="A2" s="7" t="s">
        <v>96</v>
      </c>
      <c r="B2" s="1"/>
      <c r="C2" s="2"/>
      <c r="D2" s="8"/>
    </row>
    <row r="3" spans="1:4" ht="12.75">
      <c r="A3" s="33" t="s">
        <v>97</v>
      </c>
      <c r="B3" s="1"/>
      <c r="C3" s="2"/>
      <c r="D3" s="8"/>
    </row>
    <row r="4" spans="1:4" ht="12.75">
      <c r="A4" s="33" t="s">
        <v>98</v>
      </c>
      <c r="B4" s="1"/>
      <c r="C4" s="2"/>
      <c r="D4" s="8"/>
    </row>
    <row r="5" spans="1:4" ht="12.75">
      <c r="A5" s="9"/>
      <c r="B5" s="13" t="s">
        <v>69</v>
      </c>
      <c r="C5" s="13" t="s">
        <v>70</v>
      </c>
      <c r="D5" s="10" t="s">
        <v>74</v>
      </c>
    </row>
    <row r="6" spans="1:4" ht="12.75">
      <c r="A6" s="78" t="s">
        <v>48</v>
      </c>
      <c r="B6" s="79"/>
      <c r="C6" s="79"/>
      <c r="D6" s="80"/>
    </row>
    <row r="7" spans="1:4" ht="12.75">
      <c r="A7" s="27" t="s">
        <v>76</v>
      </c>
      <c r="B7" s="81">
        <v>0</v>
      </c>
      <c r="C7" s="81">
        <v>0</v>
      </c>
      <c r="D7" s="82">
        <f>SUM(Upfront_Licensing_allyears)</f>
        <v>0</v>
      </c>
    </row>
    <row r="8" spans="1:4" ht="12.75">
      <c r="A8" s="12" t="s">
        <v>81</v>
      </c>
      <c r="B8" s="83">
        <f>SUM(Upfront_Licensing_Year1)</f>
        <v>0</v>
      </c>
      <c r="C8" s="83">
        <f>SUM(Upfront_Licensing_Year2)</f>
        <v>0</v>
      </c>
      <c r="D8" s="84">
        <f>SUM(Upfront_Licensing_Totals_Allyears)</f>
        <v>0</v>
      </c>
    </row>
    <row r="9" spans="1:4" ht="12.75">
      <c r="A9" s="14" t="s">
        <v>51</v>
      </c>
      <c r="B9" s="37"/>
      <c r="C9" s="37"/>
      <c r="D9" s="38"/>
    </row>
    <row r="10" spans="1:4" ht="12.75">
      <c r="A10" s="30" t="s">
        <v>52</v>
      </c>
      <c r="B10" s="85">
        <v>0</v>
      </c>
      <c r="C10" s="85">
        <v>0</v>
      </c>
      <c r="D10" s="86">
        <f>SUM(Upfront_Questionanswering_allyears)</f>
        <v>0</v>
      </c>
    </row>
    <row r="11" spans="1:4" ht="12.75">
      <c r="A11" s="30" t="s">
        <v>121</v>
      </c>
      <c r="B11" s="81">
        <v>0</v>
      </c>
      <c r="C11" s="81">
        <v>0</v>
      </c>
      <c r="D11" s="86">
        <f>SUM(Upfront_OutsourcedToOthers_allyears)</f>
        <v>0</v>
      </c>
    </row>
    <row r="12" spans="1:4" ht="12.75">
      <c r="A12" s="30" t="s">
        <v>117</v>
      </c>
      <c r="B12" s="81">
        <v>0</v>
      </c>
      <c r="C12" s="81">
        <v>0</v>
      </c>
      <c r="D12" s="86">
        <f>SUM(Upfront_TrainingTechSupport_allyears)</f>
        <v>0</v>
      </c>
    </row>
    <row r="13" spans="1:4" ht="12.75">
      <c r="A13" s="30" t="s">
        <v>118</v>
      </c>
      <c r="B13" s="81">
        <v>0</v>
      </c>
      <c r="C13" s="81">
        <v>0</v>
      </c>
      <c r="D13" s="86">
        <f>SUM(Upfront_Reporting_allyears)</f>
        <v>0</v>
      </c>
    </row>
    <row r="14" spans="1:4" ht="12.75">
      <c r="A14" s="12" t="s">
        <v>87</v>
      </c>
      <c r="B14" s="83">
        <f>SUM(Upfront_Outsourcing_Year1)</f>
        <v>0</v>
      </c>
      <c r="C14" s="83">
        <f>SUM(Upfront_Outsourcing_Year2)</f>
        <v>0</v>
      </c>
      <c r="D14" s="84">
        <f>SUM(Upfront_Outsourcing_Totals_Allyears)</f>
        <v>0</v>
      </c>
    </row>
    <row r="15" spans="1:4" ht="12.75">
      <c r="A15" s="35" t="s">
        <v>47</v>
      </c>
      <c r="B15" s="36"/>
      <c r="C15" s="36"/>
      <c r="D15" s="39"/>
    </row>
    <row r="16" spans="1:4" ht="12.75">
      <c r="A16" s="30" t="s">
        <v>20</v>
      </c>
      <c r="B16" s="85">
        <v>0</v>
      </c>
      <c r="C16" s="85">
        <v>0</v>
      </c>
      <c r="D16" s="86">
        <f>SUM(Upfront_LibrarianWages_allyears)</f>
        <v>0</v>
      </c>
    </row>
    <row r="17" spans="1:4" ht="12.75">
      <c r="A17" s="30" t="s">
        <v>21</v>
      </c>
      <c r="B17" s="85">
        <v>0</v>
      </c>
      <c r="C17" s="85">
        <v>0</v>
      </c>
      <c r="D17" s="86">
        <f>SUM(Upfront_LibrarianBenefits_allyears)</f>
        <v>0</v>
      </c>
    </row>
    <row r="18" spans="1:4" ht="12.75">
      <c r="A18" s="30" t="s">
        <v>22</v>
      </c>
      <c r="B18" s="85">
        <v>0</v>
      </c>
      <c r="C18" s="85">
        <v>0</v>
      </c>
      <c r="D18" s="86">
        <f>SUM(Upfront_ParaprofWages_allyears)</f>
        <v>0</v>
      </c>
    </row>
    <row r="19" spans="1:4" ht="12.75">
      <c r="A19" s="30" t="s">
        <v>23</v>
      </c>
      <c r="B19" s="85">
        <v>0</v>
      </c>
      <c r="C19" s="85">
        <v>0</v>
      </c>
      <c r="D19" s="86">
        <f>SUM(Upfront_ParaprofBenefits_allyears)</f>
        <v>0</v>
      </c>
    </row>
    <row r="20" spans="1:4" ht="12.75">
      <c r="A20" s="30" t="s">
        <v>31</v>
      </c>
      <c r="B20" s="85">
        <v>0</v>
      </c>
      <c r="C20" s="85">
        <v>0</v>
      </c>
      <c r="D20" s="86">
        <f>SUM(Upfront_Techwages_allyears)</f>
        <v>0</v>
      </c>
    </row>
    <row r="21" spans="1:4" ht="12.75">
      <c r="A21" s="30" t="s">
        <v>32</v>
      </c>
      <c r="B21" s="85">
        <v>0</v>
      </c>
      <c r="C21" s="85">
        <v>0</v>
      </c>
      <c r="D21" s="86">
        <f>SUM(Upfront_TechBenefits_allyears)</f>
        <v>0</v>
      </c>
    </row>
    <row r="22" spans="1:4" ht="12.75">
      <c r="A22" s="12" t="s">
        <v>80</v>
      </c>
      <c r="B22" s="83">
        <f>SUM(Upfront_WSnB_Year1)</f>
        <v>0</v>
      </c>
      <c r="C22" s="83">
        <f>SUM(Upfront_WSnB_Year2)</f>
        <v>0</v>
      </c>
      <c r="D22" s="84">
        <f>SUM(Upfront_WSnB_Totals_Allyears)</f>
        <v>0</v>
      </c>
    </row>
    <row r="23" spans="1:4" ht="12.75">
      <c r="A23" s="35" t="s">
        <v>24</v>
      </c>
      <c r="B23" s="36"/>
      <c r="C23" s="36"/>
      <c r="D23" s="39"/>
    </row>
    <row r="24" spans="1:4" ht="12.75">
      <c r="A24" s="30" t="s">
        <v>28</v>
      </c>
      <c r="B24" s="85">
        <v>0</v>
      </c>
      <c r="C24" s="85">
        <v>0</v>
      </c>
      <c r="D24" s="86">
        <f>SUM(Upfront_Workstations_allyears)</f>
        <v>0</v>
      </c>
    </row>
    <row r="25" spans="1:4" ht="12.75">
      <c r="A25" s="30" t="s">
        <v>29</v>
      </c>
      <c r="B25" s="85">
        <v>0</v>
      </c>
      <c r="C25" s="85">
        <v>0</v>
      </c>
      <c r="D25" s="86">
        <f>SUM(Upfront_Servers_allyears)</f>
        <v>0</v>
      </c>
    </row>
    <row r="26" spans="1:4" ht="12.75">
      <c r="A26" s="30" t="s">
        <v>30</v>
      </c>
      <c r="B26" s="85">
        <v>0</v>
      </c>
      <c r="C26" s="85">
        <v>0</v>
      </c>
      <c r="D26" s="86">
        <f>SUM(Upfront_PrinterScanners_allyears)</f>
        <v>0</v>
      </c>
    </row>
    <row r="27" spans="1:4" ht="12.75">
      <c r="A27" s="30" t="s">
        <v>1</v>
      </c>
      <c r="B27" s="85">
        <v>0</v>
      </c>
      <c r="C27" s="85">
        <v>0</v>
      </c>
      <c r="D27" s="86">
        <f>SUM(Upfront_Installation_allyears)</f>
        <v>0</v>
      </c>
    </row>
    <row r="28" spans="1:4" ht="12.75">
      <c r="A28" s="30" t="s">
        <v>3</v>
      </c>
      <c r="B28" s="85">
        <v>0</v>
      </c>
      <c r="C28" s="85">
        <v>0</v>
      </c>
      <c r="D28" s="86">
        <f>SUM(Upfront_Upgrades_allyears)</f>
        <v>0</v>
      </c>
    </row>
    <row r="29" spans="1:4" ht="12.75">
      <c r="A29" s="12" t="s">
        <v>79</v>
      </c>
      <c r="B29" s="83">
        <f>SUM(Upfront_Computer_Year1)</f>
        <v>0</v>
      </c>
      <c r="C29" s="83">
        <f>SUM(Upfront_Computer_Year2)</f>
        <v>0</v>
      </c>
      <c r="D29" s="84">
        <f>SUM(Upfront_Computer_Totals_Allyears)</f>
        <v>0</v>
      </c>
    </row>
    <row r="30" spans="1:4" ht="12.75">
      <c r="A30" s="35" t="s">
        <v>59</v>
      </c>
      <c r="B30" s="36"/>
      <c r="C30" s="36"/>
      <c r="D30" s="39"/>
    </row>
    <row r="31" spans="1:4" ht="12.75">
      <c r="A31" s="30" t="s">
        <v>60</v>
      </c>
      <c r="B31" s="85">
        <v>0</v>
      </c>
      <c r="C31" s="85">
        <v>0</v>
      </c>
      <c r="D31" s="86">
        <f>SUM(Upfront_Lines_allyears)</f>
        <v>0</v>
      </c>
    </row>
    <row r="32" spans="1:4" ht="12.75">
      <c r="A32" s="30" t="s">
        <v>4</v>
      </c>
      <c r="B32" s="85">
        <v>0</v>
      </c>
      <c r="C32" s="85">
        <v>0</v>
      </c>
      <c r="D32" s="86">
        <f>SUM(Upfront_Routers_allyears)</f>
        <v>0</v>
      </c>
    </row>
    <row r="33" spans="1:4" ht="12.75">
      <c r="A33" s="30" t="s">
        <v>5</v>
      </c>
      <c r="B33" s="85">
        <v>0</v>
      </c>
      <c r="C33" s="85">
        <v>0</v>
      </c>
      <c r="D33" s="86">
        <f>SUM(Upfront_Modems_allyears)</f>
        <v>0</v>
      </c>
    </row>
    <row r="34" spans="1:4" ht="12.75">
      <c r="A34" s="30" t="s">
        <v>33</v>
      </c>
      <c r="B34" s="85">
        <v>0</v>
      </c>
      <c r="C34" s="85">
        <v>0</v>
      </c>
      <c r="D34" s="86">
        <f>SUM(Upfront_Phonelines_allyears)</f>
        <v>0</v>
      </c>
    </row>
    <row r="35" spans="1:4" ht="12.75">
      <c r="A35" s="30" t="s">
        <v>6</v>
      </c>
      <c r="B35" s="85">
        <v>0</v>
      </c>
      <c r="C35" s="85">
        <v>0</v>
      </c>
      <c r="D35" s="86">
        <f>SUM(Upfront_LANhubs_allyears)</f>
        <v>0</v>
      </c>
    </row>
    <row r="36" spans="1:4" ht="12.75">
      <c r="A36" s="30" t="s">
        <v>55</v>
      </c>
      <c r="B36" s="85">
        <v>0</v>
      </c>
      <c r="C36" s="85">
        <v>0</v>
      </c>
      <c r="D36" s="86">
        <f>SUM(Upfront_Connectivity_allyears)</f>
        <v>0</v>
      </c>
    </row>
    <row r="37" spans="1:4" ht="12.75">
      <c r="A37" s="30" t="s">
        <v>7</v>
      </c>
      <c r="B37" s="85">
        <v>0</v>
      </c>
      <c r="C37" s="85">
        <v>0</v>
      </c>
      <c r="D37" s="86">
        <f>SUM(Upfront_Circuits_allyears)</f>
        <v>0</v>
      </c>
    </row>
    <row r="38" spans="1:4" ht="12.75">
      <c r="A38" s="30" t="s">
        <v>8</v>
      </c>
      <c r="B38" s="85">
        <v>0</v>
      </c>
      <c r="C38" s="85">
        <v>0</v>
      </c>
      <c r="D38" s="86">
        <f>SUM(Upfront_Linehardware_allyears)</f>
        <v>0</v>
      </c>
    </row>
    <row r="39" spans="1:4" ht="12.75">
      <c r="A39" s="30" t="s">
        <v>34</v>
      </c>
      <c r="B39" s="85">
        <v>0</v>
      </c>
      <c r="C39" s="85">
        <v>0</v>
      </c>
      <c r="D39" s="86">
        <f>SUM(Upfront_LANhardware_allyears)</f>
        <v>0</v>
      </c>
    </row>
    <row r="40" spans="1:4" ht="12.75">
      <c r="A40" s="30" t="s">
        <v>0</v>
      </c>
      <c r="B40" s="85">
        <v>0</v>
      </c>
      <c r="C40" s="85">
        <v>0</v>
      </c>
      <c r="D40" s="86">
        <f>SUM(Upfront_OtherTelecom_allyears)</f>
        <v>0</v>
      </c>
    </row>
    <row r="41" spans="1:4" ht="12.75">
      <c r="A41" s="12" t="s">
        <v>78</v>
      </c>
      <c r="B41" s="83">
        <f>SUM(Upfront_Telecom_Year1)</f>
        <v>0</v>
      </c>
      <c r="C41" s="83">
        <f>SUM(Upfront_Telecom_Year2)</f>
        <v>0</v>
      </c>
      <c r="D41" s="84">
        <f>SUM(Upfront_Telecom_Totals_Allyears)</f>
        <v>0</v>
      </c>
    </row>
    <row r="42" spans="1:4" ht="12.75">
      <c r="A42" s="35" t="s">
        <v>25</v>
      </c>
      <c r="B42" s="36"/>
      <c r="C42" s="36"/>
      <c r="D42" s="39"/>
    </row>
    <row r="43" spans="1:4" ht="12.75">
      <c r="A43" s="30" t="s">
        <v>43</v>
      </c>
      <c r="B43" s="85">
        <v>0</v>
      </c>
      <c r="C43" s="85">
        <v>0</v>
      </c>
      <c r="D43" s="86">
        <f>SUM(Upfront_Colldev_allyears)</f>
        <v>0</v>
      </c>
    </row>
    <row r="44" spans="1:4" ht="12.75">
      <c r="A44" s="30" t="s">
        <v>44</v>
      </c>
      <c r="B44" s="85">
        <v>0</v>
      </c>
      <c r="C44" s="85">
        <v>0</v>
      </c>
      <c r="D44" s="86">
        <f>SUM(Upfront_Research_allyears)</f>
        <v>0</v>
      </c>
    </row>
    <row r="45" spans="1:4" ht="12.75">
      <c r="A45" s="12" t="s">
        <v>77</v>
      </c>
      <c r="B45" s="83">
        <f>SUM(Upfront_Printmat_Year1)</f>
        <v>0</v>
      </c>
      <c r="C45" s="83">
        <f>SUM(Upfront_Printmat_Year2)</f>
        <v>0</v>
      </c>
      <c r="D45" s="84">
        <f>SUM(Upfront_Printmat_Totals_Allyears)</f>
        <v>0</v>
      </c>
    </row>
    <row r="46" spans="1:4" ht="12.75">
      <c r="A46" s="35" t="s">
        <v>58</v>
      </c>
      <c r="B46" s="36"/>
      <c r="C46" s="36"/>
      <c r="D46" s="39"/>
    </row>
    <row r="47" spans="1:4" ht="12.75">
      <c r="A47" s="30" t="s">
        <v>65</v>
      </c>
      <c r="B47" s="85">
        <v>0</v>
      </c>
      <c r="C47" s="85">
        <v>0</v>
      </c>
      <c r="D47" s="86">
        <f>SUM(Upfront_Webhosting_allyears)</f>
        <v>0</v>
      </c>
    </row>
    <row r="48" spans="1:4" ht="12.75">
      <c r="A48" s="30" t="s">
        <v>66</v>
      </c>
      <c r="B48" s="85">
        <v>0</v>
      </c>
      <c r="C48" s="85">
        <v>0</v>
      </c>
      <c r="D48" s="86">
        <f>SUM(Upfront_Services_allyears)</f>
        <v>0</v>
      </c>
    </row>
    <row r="49" spans="1:4" ht="12.75">
      <c r="A49" s="30" t="s">
        <v>9</v>
      </c>
      <c r="B49" s="85">
        <v>0</v>
      </c>
      <c r="C49" s="85">
        <v>0</v>
      </c>
      <c r="D49" s="86">
        <f>SUM(Upfront_Opsystems_allyears)</f>
        <v>0</v>
      </c>
    </row>
    <row r="50" spans="1:4" ht="12.75">
      <c r="A50" s="30" t="s">
        <v>35</v>
      </c>
      <c r="B50" s="85">
        <v>0</v>
      </c>
      <c r="C50" s="85">
        <v>0</v>
      </c>
      <c r="D50" s="86">
        <f>SUM(Upfront_Appsoftware_allyears)</f>
        <v>0</v>
      </c>
    </row>
    <row r="51" spans="1:4" ht="12.75">
      <c r="A51" s="30" t="s">
        <v>10</v>
      </c>
      <c r="B51" s="85">
        <v>0</v>
      </c>
      <c r="C51" s="85">
        <v>0</v>
      </c>
      <c r="D51" s="86">
        <f>SUM(Upfront_OPAC_allyears)</f>
        <v>0</v>
      </c>
    </row>
    <row r="52" spans="1:4" ht="12.75">
      <c r="A52" s="30" t="s">
        <v>36</v>
      </c>
      <c r="B52" s="85">
        <v>0</v>
      </c>
      <c r="C52" s="85">
        <v>0</v>
      </c>
      <c r="D52" s="86">
        <f>SUM(Upfront_Navigation_allyears)</f>
        <v>0</v>
      </c>
    </row>
    <row r="53" spans="1:4" ht="12.75">
      <c r="A53" s="30" t="s">
        <v>62</v>
      </c>
      <c r="B53" s="85">
        <v>0</v>
      </c>
      <c r="C53" s="85">
        <v>0</v>
      </c>
      <c r="D53" s="86">
        <f>SUM(Upfront_Sitelicenses_allyears)</f>
        <v>0</v>
      </c>
    </row>
    <row r="54" spans="1:4" ht="12.75">
      <c r="A54" s="30" t="s">
        <v>0</v>
      </c>
      <c r="B54" s="85">
        <v>0</v>
      </c>
      <c r="C54" s="85">
        <v>0</v>
      </c>
      <c r="D54" s="86">
        <f>SUM(Upfront_Otherelmat_allyears)</f>
        <v>0</v>
      </c>
    </row>
    <row r="55" spans="1:4" ht="12.75">
      <c r="A55" s="12" t="s">
        <v>82</v>
      </c>
      <c r="B55" s="83">
        <f>SUM(Upfront_Elmat_Year1)</f>
        <v>0</v>
      </c>
      <c r="C55" s="83">
        <f>SUM(Upfront_Elmat_Year2)</f>
        <v>0</v>
      </c>
      <c r="D55" s="84">
        <f>SUM(Upfront_Elmat_Totals_Allyears)</f>
        <v>0</v>
      </c>
    </row>
    <row r="56" spans="1:4" ht="12.75">
      <c r="A56" s="35" t="s">
        <v>37</v>
      </c>
      <c r="B56" s="36"/>
      <c r="C56" s="36"/>
      <c r="D56" s="39"/>
    </row>
    <row r="57" spans="1:4" ht="12.75">
      <c r="A57" s="30" t="s">
        <v>11</v>
      </c>
      <c r="B57" s="85">
        <v>0</v>
      </c>
      <c r="C57" s="85">
        <v>0</v>
      </c>
      <c r="D57" s="86">
        <f>SUM(Upfront_StaffTraining_allyears)</f>
        <v>0</v>
      </c>
    </row>
    <row r="58" spans="1:4" ht="12.75">
      <c r="A58" s="30" t="s">
        <v>12</v>
      </c>
      <c r="B58" s="85">
        <v>0</v>
      </c>
      <c r="C58" s="85">
        <v>0</v>
      </c>
      <c r="D58" s="86">
        <f>SUM(Upfront_UserTraining_allyears)</f>
        <v>0</v>
      </c>
    </row>
    <row r="59" spans="1:4" ht="12.75">
      <c r="A59" s="30" t="s">
        <v>38</v>
      </c>
      <c r="B59" s="85">
        <v>0</v>
      </c>
      <c r="C59" s="85">
        <v>0</v>
      </c>
      <c r="D59" s="86">
        <f>SUM(Upfront_Trainingdocs_allyears)</f>
        <v>0</v>
      </c>
    </row>
    <row r="60" spans="1:4" ht="12.75">
      <c r="A60" s="30" t="s">
        <v>13</v>
      </c>
      <c r="B60" s="85">
        <v>0</v>
      </c>
      <c r="C60" s="85">
        <v>0</v>
      </c>
      <c r="D60" s="86">
        <f>SUM(Upfront_Trainingtravel_allyears)</f>
        <v>0</v>
      </c>
    </row>
    <row r="61" spans="1:4" ht="12.75">
      <c r="A61" s="30" t="s">
        <v>39</v>
      </c>
      <c r="B61" s="85">
        <v>0</v>
      </c>
      <c r="C61" s="85">
        <v>0</v>
      </c>
      <c r="D61" s="86">
        <f>SUM(Upfront_Usersupport_allyears)</f>
        <v>0</v>
      </c>
    </row>
    <row r="62" spans="1:4" ht="12.75">
      <c r="A62" s="30" t="s">
        <v>0</v>
      </c>
      <c r="B62" s="85">
        <v>0</v>
      </c>
      <c r="C62" s="85">
        <v>0</v>
      </c>
      <c r="D62" s="86">
        <f>SUM(Upfront_OtherTraining_allyears)</f>
        <v>0</v>
      </c>
    </row>
    <row r="63" spans="1:4" ht="12.75">
      <c r="A63" s="12" t="s">
        <v>83</v>
      </c>
      <c r="B63" s="83">
        <f>SUM(Upfront_Training_Year1)</f>
        <v>0</v>
      </c>
      <c r="C63" s="83">
        <f>SUM(Upfront_Training_Year2)</f>
        <v>0</v>
      </c>
      <c r="D63" s="84">
        <f>SUM(Upfront_Training_Totals_Allyears)</f>
        <v>0</v>
      </c>
    </row>
    <row r="64" spans="1:4" ht="12.75">
      <c r="A64" s="35" t="s">
        <v>40</v>
      </c>
      <c r="B64" s="36"/>
      <c r="C64" s="36"/>
      <c r="D64" s="39"/>
    </row>
    <row r="65" spans="1:4" ht="12.75">
      <c r="A65" s="30" t="s">
        <v>41</v>
      </c>
      <c r="B65" s="85">
        <v>0</v>
      </c>
      <c r="C65" s="85">
        <v>0</v>
      </c>
      <c r="D65" s="86">
        <f>SUM(Upfront_Wiring_allyears)</f>
        <v>0</v>
      </c>
    </row>
    <row r="66" spans="1:4" ht="12.75">
      <c r="A66" s="30" t="s">
        <v>42</v>
      </c>
      <c r="B66" s="85">
        <v>0</v>
      </c>
      <c r="C66" s="85">
        <v>0</v>
      </c>
      <c r="D66" s="86">
        <f>SUM(Upfront_Renovation_allyears)</f>
        <v>0</v>
      </c>
    </row>
    <row r="67" spans="1:4" ht="12.75">
      <c r="A67" s="30" t="s">
        <v>26</v>
      </c>
      <c r="B67" s="85">
        <v>0</v>
      </c>
      <c r="C67" s="85">
        <v>0</v>
      </c>
      <c r="D67" s="86">
        <f>SUM(Upfront_Furniture_allyears)</f>
        <v>0</v>
      </c>
    </row>
    <row r="68" spans="1:4" ht="12.75">
      <c r="A68" s="30" t="s">
        <v>63</v>
      </c>
      <c r="B68" s="85">
        <v>0</v>
      </c>
      <c r="C68" s="85">
        <v>0</v>
      </c>
      <c r="D68" s="86">
        <f>SUM(Upfront_Space_allyears)</f>
        <v>0</v>
      </c>
    </row>
    <row r="69" spans="1:4" ht="12.75">
      <c r="A69" s="30" t="s">
        <v>27</v>
      </c>
      <c r="B69" s="85">
        <v>0</v>
      </c>
      <c r="C69" s="85">
        <v>0</v>
      </c>
      <c r="D69" s="86">
        <f>SUM(Upfront_OtherOpExp_allyears)</f>
        <v>0</v>
      </c>
    </row>
    <row r="70" spans="1:4" ht="12.75">
      <c r="A70" s="12" t="s">
        <v>99</v>
      </c>
      <c r="B70" s="83">
        <f>SUM(Upfront_Facilities_Year1)</f>
        <v>0</v>
      </c>
      <c r="C70" s="83">
        <f>SUM(Upfront_Facilities_Year2)</f>
        <v>0</v>
      </c>
      <c r="D70" s="84">
        <f>SUM(Upfront_Facilities_Totals_Allyears)</f>
        <v>0</v>
      </c>
    </row>
    <row r="71" spans="1:4" ht="12.75">
      <c r="A71" s="35" t="s">
        <v>45</v>
      </c>
      <c r="B71" s="36"/>
      <c r="C71" s="36"/>
      <c r="D71" s="39"/>
    </row>
    <row r="72" spans="1:4" ht="12.75">
      <c r="A72" s="30" t="s">
        <v>46</v>
      </c>
      <c r="B72" s="85">
        <v>0</v>
      </c>
      <c r="C72" s="85">
        <v>0</v>
      </c>
      <c r="D72" s="86">
        <f>SUM(Upfront_Planning_allyears)</f>
        <v>0</v>
      </c>
    </row>
    <row r="73" spans="1:4" ht="12.75">
      <c r="A73" s="30" t="s">
        <v>14</v>
      </c>
      <c r="B73" s="85">
        <v>0</v>
      </c>
      <c r="C73" s="85">
        <v>0</v>
      </c>
      <c r="D73" s="86">
        <f>SUM(Upfront_RFP_allyears)</f>
        <v>0</v>
      </c>
    </row>
    <row r="74" spans="1:4" ht="12.75">
      <c r="A74" s="30" t="s">
        <v>15</v>
      </c>
      <c r="B74" s="85">
        <v>0</v>
      </c>
      <c r="C74" s="85">
        <v>0</v>
      </c>
      <c r="D74" s="86">
        <f>SUM(Upfront_Consultant_allyears)</f>
        <v>0</v>
      </c>
    </row>
    <row r="75" spans="1:4" ht="12.75">
      <c r="A75" s="30" t="s">
        <v>16</v>
      </c>
      <c r="B75" s="85">
        <v>0</v>
      </c>
      <c r="C75" s="85">
        <v>0</v>
      </c>
      <c r="D75" s="86">
        <f>SUM(Upfront_Negotiations_allyears)</f>
        <v>0</v>
      </c>
    </row>
    <row r="76" spans="1:4" ht="12.75">
      <c r="A76" s="30" t="s">
        <v>17</v>
      </c>
      <c r="B76" s="85">
        <v>0</v>
      </c>
      <c r="C76" s="85">
        <v>0</v>
      </c>
      <c r="D76" s="86">
        <f>SUM(Upfront_PersonnelTime_allyears)</f>
        <v>0</v>
      </c>
    </row>
    <row r="77" spans="1:4" ht="12.75">
      <c r="A77" s="30" t="s">
        <v>18</v>
      </c>
      <c r="B77" s="85">
        <v>0</v>
      </c>
      <c r="C77" s="85">
        <v>0</v>
      </c>
      <c r="D77" s="86">
        <f>SUM(Upfront_ProgramAnalysis_allyears)</f>
        <v>0</v>
      </c>
    </row>
    <row r="78" spans="1:4" ht="12.75">
      <c r="A78" s="30" t="s">
        <v>0</v>
      </c>
      <c r="B78" s="85">
        <v>0</v>
      </c>
      <c r="C78" s="85">
        <v>0</v>
      </c>
      <c r="D78" s="86">
        <f>SUM(Upfront_OtherMgmt_allyears)</f>
        <v>0</v>
      </c>
    </row>
    <row r="79" spans="1:4" ht="12.75">
      <c r="A79" s="30" t="s">
        <v>19</v>
      </c>
      <c r="B79" s="85">
        <v>0</v>
      </c>
      <c r="C79" s="85">
        <v>0</v>
      </c>
      <c r="D79" s="86">
        <f>SUM(Upfront_Advertising_allyears)</f>
        <v>0</v>
      </c>
    </row>
    <row r="80" spans="1:4" ht="12.75">
      <c r="A80" s="30" t="s">
        <v>67</v>
      </c>
      <c r="B80" s="85">
        <v>0</v>
      </c>
      <c r="C80" s="85">
        <v>0</v>
      </c>
      <c r="D80" s="86">
        <f>SUM(Upfront_Supplies_allyears)</f>
        <v>0</v>
      </c>
    </row>
    <row r="81" spans="1:4" ht="12.75">
      <c r="A81" s="30" t="s">
        <v>122</v>
      </c>
      <c r="B81" s="85">
        <v>0</v>
      </c>
      <c r="C81" s="85">
        <v>0</v>
      </c>
      <c r="D81" s="86">
        <f>SUM(Upfront_Contingency_Allyears)</f>
        <v>0</v>
      </c>
    </row>
    <row r="82" spans="1:4" ht="12.75">
      <c r="A82" s="12" t="s">
        <v>84</v>
      </c>
      <c r="B82" s="83">
        <f>SUM(Upfront_Mgmt_Year1)</f>
        <v>0</v>
      </c>
      <c r="C82" s="83">
        <f>SUM(Upfront_Mgmt_Year2)</f>
        <v>0</v>
      </c>
      <c r="D82" s="84">
        <f>SUM(Upfront_Mgmt_Totals_Allyears)</f>
        <v>0</v>
      </c>
    </row>
    <row r="83" spans="1:4" ht="16.5" thickBot="1">
      <c r="A83" s="11" t="s">
        <v>75</v>
      </c>
      <c r="B83" s="87">
        <f>SUM(B8,B14,B22,B29,B41,B45,B55,B63,B70,B82)</f>
        <v>0</v>
      </c>
      <c r="C83" s="87">
        <f>SUM(C8,C14,C22,C29,C41,C45,C55,C63,C70,C82)</f>
        <v>0</v>
      </c>
      <c r="D83" s="93">
        <f>SUM(D8,D14,D22,D29,D41,D45,D55,D63,D70,D82)</f>
        <v>0</v>
      </c>
    </row>
  </sheetData>
  <sheetProtection formatCells="0" formatColumns="0" formatRows="0" insertColumns="0" insertRows="0" deleteColumns="0" deleteRows="0"/>
  <printOptions horizontalCentered="1"/>
  <pageMargins left="0.26" right="0.26" top="1.09" bottom="1" header="0.33" footer="0.25"/>
  <pageSetup orientation="landscape" scale="89" r:id="rId1"/>
  <headerFooter alignWithMargins="0">
    <oddHeader>&amp;C&amp;"Arial,Bold Italic"&amp;14Chat Reference Start-Up Costs
Actual Expected Costs</oddHeader>
    <oddFooter>&amp;CPage &amp;P of &amp;N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"/>
    </sheetView>
  </sheetViews>
  <sheetFormatPr defaultColWidth="8.8515625" defaultRowHeight="12.75"/>
  <cols>
    <col min="1" max="1" width="80.57421875" style="19" bestFit="1" customWidth="1"/>
    <col min="2" max="6" width="11.7109375" style="19" customWidth="1"/>
    <col min="7" max="7" width="12.8515625" style="19" bestFit="1" customWidth="1"/>
    <col min="8" max="16384" width="8.8515625" style="19" customWidth="1"/>
  </cols>
  <sheetData>
    <row r="1" spans="1:7" ht="15.75">
      <c r="A1" s="15" t="s">
        <v>68</v>
      </c>
      <c r="B1" s="16"/>
      <c r="C1" s="17"/>
      <c r="D1" s="17"/>
      <c r="E1" s="17"/>
      <c r="F1" s="17"/>
      <c r="G1" s="18"/>
    </row>
    <row r="2" spans="1:7" ht="12.75">
      <c r="A2" s="20" t="s">
        <v>96</v>
      </c>
      <c r="B2" s="21"/>
      <c r="C2" s="22"/>
      <c r="D2" s="22"/>
      <c r="E2" s="22"/>
      <c r="F2" s="22"/>
      <c r="G2" s="23"/>
    </row>
    <row r="3" spans="1:7" ht="12.75">
      <c r="A3" s="24"/>
      <c r="B3" s="25" t="s">
        <v>69</v>
      </c>
      <c r="C3" s="25" t="s">
        <v>70</v>
      </c>
      <c r="D3" s="25" t="s">
        <v>71</v>
      </c>
      <c r="E3" s="25" t="s">
        <v>72</v>
      </c>
      <c r="F3" s="25" t="s">
        <v>73</v>
      </c>
      <c r="G3" s="34" t="s">
        <v>74</v>
      </c>
    </row>
    <row r="4" spans="1:7" ht="12.75">
      <c r="A4" s="26" t="s">
        <v>49</v>
      </c>
      <c r="B4" s="40"/>
      <c r="C4" s="40"/>
      <c r="D4" s="40"/>
      <c r="E4" s="40"/>
      <c r="F4" s="40"/>
      <c r="G4" s="41"/>
    </row>
    <row r="5" spans="1:7" ht="12.75">
      <c r="A5" s="27" t="s">
        <v>85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6">
        <f>SUM(Ongoing_Licensing_allyears)</f>
        <v>0</v>
      </c>
    </row>
    <row r="6" spans="1:7" ht="12.75">
      <c r="A6" s="28" t="s">
        <v>81</v>
      </c>
      <c r="B6" s="47">
        <f>SUM(Ongoing_Licensing_Year1)</f>
        <v>0</v>
      </c>
      <c r="C6" s="47">
        <f>SUM(Ongoing_Licensing_Year2)</f>
        <v>0</v>
      </c>
      <c r="D6" s="47">
        <f>SUM(Ongoing_Licensing_Year3)</f>
        <v>0</v>
      </c>
      <c r="E6" s="47">
        <f>SUM(Ongoing_Licensing_Year4)</f>
        <v>0</v>
      </c>
      <c r="F6" s="47">
        <f>SUM(Ongoing_Licensing_Year5)</f>
        <v>0</v>
      </c>
      <c r="G6" s="48">
        <f>SUM(Ongoing_Licensing_Totals_Allyears)</f>
        <v>0</v>
      </c>
    </row>
    <row r="7" spans="1:7" ht="12.75">
      <c r="A7" s="29" t="s">
        <v>51</v>
      </c>
      <c r="B7" s="42"/>
      <c r="C7" s="42"/>
      <c r="D7" s="42"/>
      <c r="E7" s="42"/>
      <c r="F7" s="42"/>
      <c r="G7" s="43"/>
    </row>
    <row r="8" spans="1:7" ht="12.75">
      <c r="A8" s="30" t="s">
        <v>52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6">
        <f>SUM(Ongoing_QuestionAnswering_allyears)</f>
        <v>0</v>
      </c>
    </row>
    <row r="9" spans="1:7" ht="12.75">
      <c r="A9" s="30" t="s">
        <v>121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6">
        <f>SUM(Ongoing_OutsourcedToOthers_allyears)</f>
        <v>0</v>
      </c>
    </row>
    <row r="10" spans="1:7" ht="12.75">
      <c r="A10" s="30" t="s">
        <v>53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6">
        <f>SUM(Ongoing_TrainingTechSupport_allyears)</f>
        <v>0</v>
      </c>
    </row>
    <row r="11" spans="1:7" ht="12.75">
      <c r="A11" s="30" t="s">
        <v>54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6">
        <f>SUM(Ongoing_Reporting_allyears)</f>
        <v>0</v>
      </c>
    </row>
    <row r="12" spans="1:7" ht="12.75">
      <c r="A12" s="28" t="s">
        <v>87</v>
      </c>
      <c r="B12" s="47">
        <f>SUM(Ongoing_Outsourcing_Year1)</f>
        <v>0</v>
      </c>
      <c r="C12" s="47">
        <f>SUM(Ongoing_Outsourcing_Year2)</f>
        <v>0</v>
      </c>
      <c r="D12" s="47">
        <f>SUM(Ongoing_Outsourcing_Year3)</f>
        <v>0</v>
      </c>
      <c r="E12" s="47">
        <f>SUM(Ongoing_Outsourcing_Year4)</f>
        <v>0</v>
      </c>
      <c r="F12" s="47">
        <f>SUM(Ongoing_Outsourcing_Year5)</f>
        <v>0</v>
      </c>
      <c r="G12" s="48">
        <f>SUM(Ongoing_Outsourcing_Totals_Allyears)</f>
        <v>0</v>
      </c>
    </row>
    <row r="13" spans="1:7" ht="12.75">
      <c r="A13" s="26" t="s">
        <v>47</v>
      </c>
      <c r="B13" s="40"/>
      <c r="C13" s="40"/>
      <c r="D13" s="40"/>
      <c r="E13" s="40"/>
      <c r="F13" s="40"/>
      <c r="G13" s="44"/>
    </row>
    <row r="14" spans="1:7" ht="12.75">
      <c r="A14" s="30" t="s">
        <v>20</v>
      </c>
      <c r="B14" s="45">
        <f>10*52*21.25</f>
        <v>11050</v>
      </c>
      <c r="C14" s="45">
        <v>0</v>
      </c>
      <c r="D14" s="45">
        <v>0</v>
      </c>
      <c r="E14" s="45">
        <v>0</v>
      </c>
      <c r="F14" s="45">
        <v>0</v>
      </c>
      <c r="G14" s="46">
        <f>SUM(Ongoing_LibrarianWages_allyears)</f>
        <v>11050</v>
      </c>
    </row>
    <row r="15" spans="1:7" ht="12.75">
      <c r="A15" s="30" t="s">
        <v>21</v>
      </c>
      <c r="B15" s="45">
        <f>B14*0.28</f>
        <v>3094.0000000000005</v>
      </c>
      <c r="C15" s="45">
        <v>0</v>
      </c>
      <c r="D15" s="45">
        <v>0</v>
      </c>
      <c r="E15" s="45">
        <v>0</v>
      </c>
      <c r="F15" s="45">
        <v>0</v>
      </c>
      <c r="G15" s="46">
        <f>SUM(Ongoing_LibrarianBenefits_allyears)</f>
        <v>3094.0000000000005</v>
      </c>
    </row>
    <row r="16" spans="1:7" ht="12.75">
      <c r="A16" s="30" t="s">
        <v>22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6">
        <f>SUM(Ongoing_ParaprofWages_allyears)</f>
        <v>0</v>
      </c>
    </row>
    <row r="17" spans="1:7" ht="12.75">
      <c r="A17" s="30" t="s">
        <v>23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6">
        <f>SUM(Ongoing_ParaprofBenefits_allyears)</f>
        <v>0</v>
      </c>
    </row>
    <row r="18" spans="1:7" ht="12.75">
      <c r="A18" s="30" t="s">
        <v>31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6">
        <f>SUM(Ongoing_TechWages_allyears)</f>
        <v>0</v>
      </c>
    </row>
    <row r="19" spans="1:7" ht="12.75">
      <c r="A19" s="30" t="s">
        <v>32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6">
        <f>SUM(Ongoing_TechBenefits_allyears)</f>
        <v>0</v>
      </c>
    </row>
    <row r="20" spans="1:7" ht="12.75">
      <c r="A20" s="28" t="s">
        <v>86</v>
      </c>
      <c r="B20" s="47">
        <f>SUM(Ongoing_WSnB_Year1)</f>
        <v>14144</v>
      </c>
      <c r="C20" s="47">
        <f>SUM(Ongoing_WSnB_Year2)</f>
        <v>0</v>
      </c>
      <c r="D20" s="47">
        <f>SUM(Ongoing_WSnB_Year3)</f>
        <v>0</v>
      </c>
      <c r="E20" s="47">
        <f>SUM(Ongoing_WSnB_Year4)</f>
        <v>0</v>
      </c>
      <c r="F20" s="47">
        <f>SUM(Ongoing_WSnB_Year5)</f>
        <v>0</v>
      </c>
      <c r="G20" s="48">
        <f>SUM(Ongoing_WSnB_Totals_Allyears)</f>
        <v>14144</v>
      </c>
    </row>
    <row r="21" spans="1:7" ht="12.75">
      <c r="A21" s="26" t="s">
        <v>50</v>
      </c>
      <c r="B21" s="40"/>
      <c r="C21" s="40"/>
      <c r="D21" s="40"/>
      <c r="E21" s="40"/>
      <c r="F21" s="40"/>
      <c r="G21" s="44"/>
    </row>
    <row r="22" spans="1:7" ht="12.75">
      <c r="A22" s="30" t="s">
        <v>28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6">
        <f>SUM(Ongoing_Workstations_allyears)</f>
        <v>0</v>
      </c>
    </row>
    <row r="23" spans="1:7" ht="12.75">
      <c r="A23" s="30" t="s">
        <v>29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6">
        <f>SUM(Ongoing_Servers_allyears)</f>
        <v>0</v>
      </c>
    </row>
    <row r="24" spans="1:7" ht="12.75">
      <c r="A24" s="30" t="s">
        <v>30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6">
        <f>SUM(Ongoing_PrinterScanners_allyears)</f>
        <v>0</v>
      </c>
    </row>
    <row r="25" spans="1:7" ht="12.75">
      <c r="A25" s="30" t="s">
        <v>1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6">
        <f>SUM(Ongoing_Installation_allyears)</f>
        <v>0</v>
      </c>
    </row>
    <row r="26" spans="1:7" ht="12.75">
      <c r="A26" s="30" t="s">
        <v>3</v>
      </c>
      <c r="B26" s="45">
        <v>2000</v>
      </c>
      <c r="C26" s="45">
        <v>0</v>
      </c>
      <c r="D26" s="45">
        <v>0</v>
      </c>
      <c r="E26" s="45">
        <v>0</v>
      </c>
      <c r="F26" s="45">
        <v>0</v>
      </c>
      <c r="G26" s="46">
        <f>SUM(Ongoing_Upgrades_allyears)</f>
        <v>2000</v>
      </c>
    </row>
    <row r="27" spans="1:7" ht="12.75">
      <c r="A27" s="30" t="s">
        <v>2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6">
        <f>SUM(Ongoing_Maintenance_allyears)</f>
        <v>0</v>
      </c>
    </row>
    <row r="28" spans="1:7" ht="12.75">
      <c r="A28" s="28" t="s">
        <v>88</v>
      </c>
      <c r="B28" s="47">
        <f>SUM(Ongoing_Computer_Year1)</f>
        <v>2000</v>
      </c>
      <c r="C28" s="47">
        <f>SUM(Ongoing_Computer_Year2)</f>
        <v>0</v>
      </c>
      <c r="D28" s="47">
        <f>SUM(Ongoing_Computer_Year3)</f>
        <v>0</v>
      </c>
      <c r="E28" s="47">
        <f>SUM(Ongoing_Computer_Year4)</f>
        <v>0</v>
      </c>
      <c r="F28" s="47">
        <f>SUM(Ongoing_Computer_Year5)</f>
        <v>0</v>
      </c>
      <c r="G28" s="48">
        <f>SUM(G22:G27)</f>
        <v>2000</v>
      </c>
    </row>
    <row r="29" spans="1:7" ht="12.75">
      <c r="A29" s="26" t="s">
        <v>59</v>
      </c>
      <c r="B29" s="40"/>
      <c r="C29" s="40"/>
      <c r="D29" s="40"/>
      <c r="E29" s="40"/>
      <c r="F29" s="40"/>
      <c r="G29" s="44"/>
    </row>
    <row r="30" spans="1:7" ht="12.75">
      <c r="A30" s="30" t="s">
        <v>60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6">
        <f>SUM(Ongoing_Lines_allyears)</f>
        <v>0</v>
      </c>
    </row>
    <row r="31" spans="1:7" ht="12.75">
      <c r="A31" s="30" t="s">
        <v>4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6">
        <f>SUM(Ongoing_Routers_allyears)</f>
        <v>0</v>
      </c>
    </row>
    <row r="32" spans="1:7" ht="12.75">
      <c r="A32" s="30" t="s">
        <v>5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6">
        <f>SUM(Ongoing_Modems_allyears)</f>
        <v>0</v>
      </c>
    </row>
    <row r="33" spans="1:7" ht="12.75">
      <c r="A33" s="30" t="s">
        <v>33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6">
        <f>SUM(Ongoing_Phonelines_allyears)</f>
        <v>0</v>
      </c>
    </row>
    <row r="34" spans="1:7" ht="12.75">
      <c r="A34" s="30" t="s">
        <v>6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6">
        <f>SUM(Ongoing_LANhubs_allyears)</f>
        <v>0</v>
      </c>
    </row>
    <row r="35" spans="1:7" ht="12.75">
      <c r="A35" s="30" t="s">
        <v>55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6">
        <f>SUM(Ongoing_Connectivity_allyears)</f>
        <v>0</v>
      </c>
    </row>
    <row r="36" spans="1:7" ht="12.75">
      <c r="A36" s="30" t="s">
        <v>7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6"/>
    </row>
    <row r="37" spans="1:7" ht="12.75">
      <c r="A37" s="30" t="s">
        <v>8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6">
        <f>SUM(Ongoing_Linehardware_allyears)</f>
        <v>0</v>
      </c>
    </row>
    <row r="38" spans="1:7" ht="12.75">
      <c r="A38" s="30" t="s">
        <v>34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6">
        <f>SUM(Ongoing_LANhardware_allyears)</f>
        <v>0</v>
      </c>
    </row>
    <row r="39" spans="1:7" ht="12.75">
      <c r="A39" s="30" t="s">
        <v>0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6">
        <f>SUM(Ongoing_OtherTelecom_allyears)</f>
        <v>0</v>
      </c>
    </row>
    <row r="40" spans="1:7" ht="12.75">
      <c r="A40" s="28" t="s">
        <v>89</v>
      </c>
      <c r="B40" s="47">
        <f>SUM(Ongoing_Telecom_Year1)</f>
        <v>0</v>
      </c>
      <c r="C40" s="47">
        <f>SUM(Ongoing_Telecom_Year2)</f>
        <v>0</v>
      </c>
      <c r="D40" s="47">
        <f>SUM(Ongoing_Telecom_Year3)</f>
        <v>0</v>
      </c>
      <c r="E40" s="47">
        <f>SUM(Ongoing_Telecom_Year4)</f>
        <v>0</v>
      </c>
      <c r="F40" s="47">
        <f>SUM(Ongoing_Telecom_Year5)</f>
        <v>0</v>
      </c>
      <c r="G40" s="48">
        <f>SUM(Ongoing_Telecom_Totals_Allyears)</f>
        <v>0</v>
      </c>
    </row>
    <row r="41" spans="1:7" ht="12.75">
      <c r="A41" s="26" t="s">
        <v>56</v>
      </c>
      <c r="B41" s="40"/>
      <c r="C41" s="40"/>
      <c r="D41" s="40"/>
      <c r="E41" s="40"/>
      <c r="F41" s="40"/>
      <c r="G41" s="44"/>
    </row>
    <row r="42" spans="1:7" ht="12.75">
      <c r="A42" s="30" t="s">
        <v>43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6">
        <f>SUM(Ongoing_Colldev_allyears)</f>
        <v>0</v>
      </c>
    </row>
    <row r="43" spans="1:7" ht="12.75">
      <c r="A43" s="30" t="s">
        <v>44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6">
        <f>SUM(Ongoing_research_allyears)</f>
        <v>0</v>
      </c>
    </row>
    <row r="44" spans="1:7" ht="12.75">
      <c r="A44" s="28" t="s">
        <v>90</v>
      </c>
      <c r="B44" s="47">
        <f>SUM(Ongoing_Printmat_Year1)</f>
        <v>0</v>
      </c>
      <c r="C44" s="47">
        <f>SUM(Ongoing_Printmat_Year2)</f>
        <v>0</v>
      </c>
      <c r="D44" s="47">
        <f>SUM(Ongoing_Printmat_Year3)</f>
        <v>0</v>
      </c>
      <c r="E44" s="47">
        <f>SUM(Ongoing_Printmat_Year4)</f>
        <v>0</v>
      </c>
      <c r="F44" s="47">
        <f>SUM(Ongoing_Printmat_Year5)</f>
        <v>0</v>
      </c>
      <c r="G44" s="48">
        <f>SUM(Ongoing_Printmat_Totals_Allyears)</f>
        <v>0</v>
      </c>
    </row>
    <row r="45" spans="1:7" ht="12.75">
      <c r="A45" s="26" t="s">
        <v>57</v>
      </c>
      <c r="B45" s="40"/>
      <c r="C45" s="40"/>
      <c r="D45" s="40"/>
      <c r="E45" s="40"/>
      <c r="F45" s="40"/>
      <c r="G45" s="44"/>
    </row>
    <row r="46" spans="1:7" ht="12.75">
      <c r="A46" s="30" t="s">
        <v>65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6">
        <f>SUM(Ongoing_Hosting_allyears)</f>
        <v>0</v>
      </c>
    </row>
    <row r="47" spans="1:7" ht="12.75">
      <c r="A47" s="30" t="s">
        <v>66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6">
        <f>SUM(Ongoing_services_allyears)</f>
        <v>0</v>
      </c>
    </row>
    <row r="48" spans="1:7" ht="12.75">
      <c r="A48" s="30" t="s">
        <v>9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6">
        <f>SUM(Ongoing_opsystems_allyears)</f>
        <v>0</v>
      </c>
    </row>
    <row r="49" spans="1:7" ht="12.75">
      <c r="A49" s="30" t="s">
        <v>35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6">
        <f>SUM(Ongoing_appsoftware_allyears)</f>
        <v>0</v>
      </c>
    </row>
    <row r="50" spans="1:7" ht="12.75">
      <c r="A50" s="30" t="s">
        <v>10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6">
        <f>SUM(Ongoing_OPAC_allyears)</f>
        <v>0</v>
      </c>
    </row>
    <row r="51" spans="1:7" ht="12.75">
      <c r="A51" s="30" t="s">
        <v>36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6">
        <f>SUM(Ongoing_navigation_allyears)</f>
        <v>0</v>
      </c>
    </row>
    <row r="52" spans="1:7" ht="12.75">
      <c r="A52" s="30" t="s">
        <v>62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6">
        <f>SUM(Ongoing_sitelicenses_allyears)</f>
        <v>0</v>
      </c>
    </row>
    <row r="53" spans="1:7" ht="12.75">
      <c r="A53" s="30" t="s">
        <v>0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6">
        <f>SUM(Ongoing_otherelmat_allyears)</f>
        <v>0</v>
      </c>
    </row>
    <row r="54" spans="1:7" ht="12.75">
      <c r="A54" s="28" t="s">
        <v>91</v>
      </c>
      <c r="B54" s="47">
        <f>SUM(Ongoing_Elmat_Year1)</f>
        <v>0</v>
      </c>
      <c r="C54" s="47">
        <f>SUM(Ongoing_Elmat_Year2)</f>
        <v>0</v>
      </c>
      <c r="D54" s="47">
        <f>SUM(Ongoing_Elmat_Year3)</f>
        <v>0</v>
      </c>
      <c r="E54" s="47">
        <f>SUM(Ongoing_Elmat_Year4)</f>
        <v>0</v>
      </c>
      <c r="F54" s="47">
        <f>SUM(Ongoing_Elmat_Year5)</f>
        <v>0</v>
      </c>
      <c r="G54" s="48">
        <f>SUM(Ongoing_Elmat_Totals_Allyears)</f>
        <v>0</v>
      </c>
    </row>
    <row r="55" spans="1:7" ht="12.75">
      <c r="A55" s="26" t="s">
        <v>61</v>
      </c>
      <c r="B55" s="40"/>
      <c r="C55" s="40"/>
      <c r="D55" s="40"/>
      <c r="E55" s="40"/>
      <c r="F55" s="40"/>
      <c r="G55" s="44"/>
    </row>
    <row r="56" spans="1:7" ht="12.75">
      <c r="A56" s="30" t="s">
        <v>11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6">
        <f>SUM(Ongoing_Stafftraining_allyears)</f>
        <v>0</v>
      </c>
    </row>
    <row r="57" spans="1:7" ht="12.75">
      <c r="A57" s="30" t="s">
        <v>12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6">
        <f>SUM(Ongoing_Usertraining_allyears)</f>
        <v>0</v>
      </c>
    </row>
    <row r="58" spans="1:7" ht="12.75">
      <c r="A58" s="30" t="s">
        <v>64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6">
        <f>SUM(Ongoing_Trainingdocs_allyears)</f>
        <v>0</v>
      </c>
    </row>
    <row r="59" spans="1:7" ht="12.75">
      <c r="A59" s="30" t="s">
        <v>13</v>
      </c>
      <c r="B59" s="45">
        <v>539</v>
      </c>
      <c r="C59" s="45">
        <v>0</v>
      </c>
      <c r="D59" s="45">
        <v>0</v>
      </c>
      <c r="E59" s="45">
        <v>0</v>
      </c>
      <c r="F59" s="45">
        <v>0</v>
      </c>
      <c r="G59" s="46">
        <f>SUM(Ongoing_Trainingtravel_allyears)</f>
        <v>539</v>
      </c>
    </row>
    <row r="60" spans="1:7" ht="12.75">
      <c r="A60" s="30" t="s">
        <v>39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6">
        <f>SUM(Ongoing_Usersupport_allyears)</f>
        <v>0</v>
      </c>
    </row>
    <row r="61" spans="1:7" ht="12.75">
      <c r="A61" s="30" t="s">
        <v>0</v>
      </c>
      <c r="B61" s="45">
        <v>3046</v>
      </c>
      <c r="C61" s="45">
        <v>0</v>
      </c>
      <c r="D61" s="45">
        <v>0</v>
      </c>
      <c r="E61" s="45">
        <v>0</v>
      </c>
      <c r="F61" s="45">
        <v>0</v>
      </c>
      <c r="G61" s="46">
        <f>SUM(Ongoing_Othertraining_allyears)</f>
        <v>3046</v>
      </c>
    </row>
    <row r="62" spans="1:7" ht="12.75">
      <c r="A62" s="28" t="s">
        <v>92</v>
      </c>
      <c r="B62" s="47">
        <f>SUM(Ongoing_Training_Year1)</f>
        <v>3585</v>
      </c>
      <c r="C62" s="47">
        <f>SUM(Ongoing_Training_Year2)</f>
        <v>0</v>
      </c>
      <c r="D62" s="47">
        <f>SUM(Ongoing_Training_Year3)</f>
        <v>0</v>
      </c>
      <c r="E62" s="47">
        <f>SUM(Ongoing_Training_Year4)</f>
        <v>0</v>
      </c>
      <c r="F62" s="47">
        <f>SUM(Ongoing_Training_Year5)</f>
        <v>0</v>
      </c>
      <c r="G62" s="48">
        <f>SUM(Ongoing_Training_Totals_Allyears)</f>
        <v>3585</v>
      </c>
    </row>
    <row r="63" spans="1:7" ht="12.75">
      <c r="A63" s="26" t="s">
        <v>40</v>
      </c>
      <c r="B63" s="40"/>
      <c r="C63" s="40"/>
      <c r="D63" s="40"/>
      <c r="E63" s="40"/>
      <c r="F63" s="40"/>
      <c r="G63" s="44"/>
    </row>
    <row r="64" spans="1:7" ht="12.75">
      <c r="A64" s="30" t="s">
        <v>41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6">
        <f>SUM(Ongoing_Wiring_allyears)</f>
        <v>0</v>
      </c>
    </row>
    <row r="65" spans="1:7" ht="12.75">
      <c r="A65" s="30" t="s">
        <v>42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6">
        <f>SUM(Ongoing_renovation_allyears)</f>
        <v>0</v>
      </c>
    </row>
    <row r="66" spans="1:7" ht="12.75">
      <c r="A66" s="30" t="s">
        <v>26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6">
        <f>SUM(Ongoing_furniture_allyears)</f>
        <v>0</v>
      </c>
    </row>
    <row r="67" spans="1:7" ht="12.75">
      <c r="A67" s="30" t="s">
        <v>119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6">
        <f>SUM(Ongoing_space_allyears)</f>
        <v>0</v>
      </c>
    </row>
    <row r="68" spans="1:7" ht="12.75">
      <c r="A68" s="30" t="s">
        <v>120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6">
        <f>SUM(Ongoing_otheropexp_allyears)</f>
        <v>0</v>
      </c>
    </row>
    <row r="69" spans="1:7" ht="12.75">
      <c r="A69" s="28" t="s">
        <v>93</v>
      </c>
      <c r="B69" s="47">
        <f>SUM(Ongoing_Facilities_Year1)</f>
        <v>0</v>
      </c>
      <c r="C69" s="47">
        <f>SUM(Ongoing_Facilities_Year2)</f>
        <v>0</v>
      </c>
      <c r="D69" s="47">
        <f>SUM(Ongoing_Facilities_Year3)</f>
        <v>0</v>
      </c>
      <c r="E69" s="47">
        <f>SUM(Ongoing_Facilities_Year4)</f>
        <v>0</v>
      </c>
      <c r="F69" s="47">
        <f>SUM(Ongoing_Facilities_Year5)</f>
        <v>0</v>
      </c>
      <c r="G69" s="48">
        <f>SUM(Ongoing_Facilities_Totals_Allyears)</f>
        <v>0</v>
      </c>
    </row>
    <row r="70" spans="1:7" ht="12.75">
      <c r="A70" s="26" t="s">
        <v>45</v>
      </c>
      <c r="B70" s="40"/>
      <c r="C70" s="40"/>
      <c r="D70" s="40"/>
      <c r="E70" s="40"/>
      <c r="F70" s="40"/>
      <c r="G70" s="44"/>
    </row>
    <row r="71" spans="1:7" ht="12.75">
      <c r="A71" s="30" t="s">
        <v>46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6">
        <f>SUM(Ongoing_planning_allyears)</f>
        <v>0</v>
      </c>
    </row>
    <row r="72" spans="1:7" ht="12.75">
      <c r="A72" s="30" t="s">
        <v>14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6">
        <f>SUM(Ongoing_RFP_allyears)</f>
        <v>0</v>
      </c>
    </row>
    <row r="73" spans="1:7" ht="12.75">
      <c r="A73" s="30" t="s">
        <v>15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6">
        <f>SUM(Ongoing_Consultant_allyears)</f>
        <v>0</v>
      </c>
    </row>
    <row r="74" spans="1:7" ht="12.75">
      <c r="A74" s="30" t="s">
        <v>16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6">
        <f>SUM(Ongoing_Negotiations_allyears)</f>
        <v>0</v>
      </c>
    </row>
    <row r="75" spans="1:7" ht="12.75">
      <c r="A75" s="30" t="s">
        <v>17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6">
        <f>SUM(Ongoing_PersonnelTime_allyears)</f>
        <v>0</v>
      </c>
    </row>
    <row r="76" spans="1:7" ht="12.75">
      <c r="A76" s="30" t="s">
        <v>18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6">
        <f>SUM(Ongoing_ProgramAnalysis_allyears)</f>
        <v>0</v>
      </c>
    </row>
    <row r="77" spans="1:7" ht="12.75">
      <c r="A77" s="30" t="s">
        <v>0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6">
        <f>SUM(Ongoing_Othermgmt_allyears)</f>
        <v>0</v>
      </c>
    </row>
    <row r="78" spans="1:7" ht="12.75">
      <c r="A78" s="30" t="s">
        <v>19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6">
        <f>SUM(Ongoing_Advertising_allyears)</f>
        <v>0</v>
      </c>
    </row>
    <row r="79" spans="1:7" ht="12.75">
      <c r="A79" s="30" t="s">
        <v>67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6">
        <f>SUM(Ongoing_Supplies_allyears)</f>
        <v>0</v>
      </c>
    </row>
    <row r="80" spans="1:7" ht="12.75">
      <c r="A80" s="94" t="s">
        <v>122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6">
        <f>SUM(Ongoing_Contingency_allyears)</f>
        <v>0</v>
      </c>
    </row>
    <row r="81" spans="1:7" ht="13.5" thickBot="1">
      <c r="A81" s="31" t="s">
        <v>94</v>
      </c>
      <c r="B81" s="47">
        <f>SUM(Ongoing_Mgmt_Year1)</f>
        <v>0</v>
      </c>
      <c r="C81" s="47">
        <f>SUM(Ongoing_Mgmt_Year2)</f>
        <v>0</v>
      </c>
      <c r="D81" s="47">
        <f>SUM(Ongoing_Mgmt_Year3)</f>
        <v>0</v>
      </c>
      <c r="E81" s="47">
        <f>SUM(Ongoing_Mgmt_Year4)</f>
        <v>0</v>
      </c>
      <c r="F81" s="47">
        <f>SUM(Ongoing_Mgmt_Year5)</f>
        <v>0</v>
      </c>
      <c r="G81" s="48">
        <f>SUM(G71:G80)</f>
        <v>0</v>
      </c>
    </row>
    <row r="82" spans="1:7" ht="16.5" thickBot="1">
      <c r="A82" s="32" t="s">
        <v>95</v>
      </c>
      <c r="B82" s="49">
        <f aca="true" t="shared" si="0" ref="B82:G82">SUM(B6,B12,B20,B28,B40,B44,B54,B62,B69,B81)</f>
        <v>19729</v>
      </c>
      <c r="C82" s="49">
        <f t="shared" si="0"/>
        <v>0</v>
      </c>
      <c r="D82" s="49">
        <f t="shared" si="0"/>
        <v>0</v>
      </c>
      <c r="E82" s="49">
        <f t="shared" si="0"/>
        <v>0</v>
      </c>
      <c r="F82" s="49">
        <f t="shared" si="0"/>
        <v>0</v>
      </c>
      <c r="G82" s="50">
        <f t="shared" si="0"/>
        <v>19729</v>
      </c>
    </row>
  </sheetData>
  <sheetProtection formatCells="0" formatColumns="0" formatRows="0" insertColumns="0" insertRows="0"/>
  <protectedRanges>
    <protectedRange sqref="A5:F5 B8:F11 B14:F19 B22:F27 B30:F31 B35:F37 B42:F43 B46:F49 B52:F53 B56:F61 B66:F68 B73:F77 B79:F80" name="Licensing Costs"/>
  </protectedRanges>
  <printOptions horizontalCentered="1"/>
  <pageMargins left="0.26" right="0.26" top="1.1" bottom="0.55" header="0.28" footer="0.25"/>
  <pageSetup orientation="landscape" scale="85" r:id="rId1"/>
  <headerFooter alignWithMargins="0">
    <oddHeader>&amp;C&amp;"Arial,Bold"&amp;14Ongoing Reference Chat Costs
&amp;"Arial,Bold Italic"Actual Expected Costs</oddHeader>
    <oddFooter>&amp;CPage &amp;P of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Eakin</dc:creator>
  <cp:keywords/>
  <dc:description/>
  <cp:lastModifiedBy>Lynn Connaway</cp:lastModifiedBy>
  <cp:lastPrinted>2006-08-01T02:12:16Z</cp:lastPrinted>
  <dcterms:created xsi:type="dcterms:W3CDTF">2006-07-24T12:51:12Z</dcterms:created>
  <dcterms:modified xsi:type="dcterms:W3CDTF">2007-01-11T23:03:05Z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